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3 - GECOMP\19 - 0036.109115.2022-75 - Ambulância (Licitatório)\5 - 0036.109115.2022-75 - 4º Ajuste\"/>
    </mc:Choice>
  </mc:AlternateContent>
  <bookViews>
    <workbookView xWindow="0" yWindow="0" windowWidth="28800" windowHeight="11730" tabRatio="869" firstSheet="2" activeTab="2"/>
  </bookViews>
  <sheets>
    <sheet name="Plan2" sheetId="2" state="hidden" r:id="rId1"/>
    <sheet name="Plan3" sheetId="3" state="hidden" r:id="rId2"/>
    <sheet name="Planilha" sheetId="87" r:id="rId3"/>
    <sheet name="Motorista - Diurno" sheetId="11" r:id="rId4"/>
    <sheet name="Motorista - Noturno" sheetId="67" r:id="rId5"/>
    <sheet name="Técnico de Enfermagem - Diurno" sheetId="88" r:id="rId6"/>
    <sheet name="Técnico de Enfermagem - Noturno" sheetId="89" r:id="rId7"/>
    <sheet name="Enfermeiro - Diurno" sheetId="83" r:id="rId8"/>
    <sheet name="Enfermeiro - Noturno" sheetId="84" r:id="rId9"/>
    <sheet name="Médico - Diurno " sheetId="85" r:id="rId10"/>
    <sheet name="Médico - Noturno" sheetId="86" r:id="rId11"/>
    <sheet name="Uniformes" sheetId="82" r:id="rId12"/>
    <sheet name="Materiais" sheetId="90" r:id="rId13"/>
    <sheet name="Equipamentos" sheetId="59" r:id="rId14"/>
  </sheets>
  <definedNames>
    <definedName name="_xlnm.Print_Area" localSheetId="7">'Enfermeiro - Diurno'!$A$1:$E$112</definedName>
    <definedName name="_xlnm.Print_Area" localSheetId="8">'Enfermeiro - Noturno'!$A$1:$E$113</definedName>
    <definedName name="_xlnm.Print_Area" localSheetId="13">Equipamentos!$A$1:$H$35</definedName>
    <definedName name="_xlnm.Print_Area" localSheetId="12">Materiais!$A$1:$H$27</definedName>
    <definedName name="_xlnm.Print_Area" localSheetId="9">'Médico - Diurno '!$A$1:$E$122</definedName>
    <definedName name="_xlnm.Print_Area" localSheetId="10">'Médico - Noturno'!$A$1:$E$122</definedName>
    <definedName name="_xlnm.Print_Area" localSheetId="3">'Motorista - Diurno'!$A$1:$G$112</definedName>
    <definedName name="_xlnm.Print_Area" localSheetId="4">'Motorista - Noturno'!$A$1:$G$113</definedName>
    <definedName name="_xlnm.Print_Area" localSheetId="2">Planilha!$A$1:$H$36</definedName>
    <definedName name="_xlnm.Print_Area" localSheetId="5">'Técnico de Enfermagem - Diurno'!$A$1:$E$113</definedName>
    <definedName name="_xlnm.Print_Area" localSheetId="6">'Técnico de Enfermagem - Noturno'!$A$1:$E$113</definedName>
    <definedName name="_xlnm.Print_Area" localSheetId="11">Uniformes!$A$1:$H$22</definedName>
    <definedName name="_xlnm.Print_Titles" localSheetId="7">'Enfermeiro - Diurno'!$1:$1</definedName>
    <definedName name="_xlnm.Print_Titles" localSheetId="8">'Enfermeiro - Noturno'!$1:$1</definedName>
    <definedName name="_xlnm.Print_Titles" localSheetId="9">'Médico - Diurno '!$1:$1</definedName>
    <definedName name="_xlnm.Print_Titles" localSheetId="10">'Médico - Noturno'!$1:$1</definedName>
    <definedName name="_xlnm.Print_Titles" localSheetId="3">'Motorista - Diurno'!$1:$1</definedName>
    <definedName name="_xlnm.Print_Titles" localSheetId="4">'Motorista - Noturno'!$1:$1</definedName>
    <definedName name="_xlnm.Print_Titles" localSheetId="5">'Técnico de Enfermagem - Diurno'!$1:$1</definedName>
    <definedName name="_xlnm.Print_Titles" localSheetId="6">'Técnico de Enfermagem - Noturno'!$1:$1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90" l="1"/>
  <c r="H20" i="90"/>
  <c r="H19" i="90"/>
  <c r="H18" i="90"/>
  <c r="H16" i="90"/>
  <c r="H15" i="90"/>
  <c r="H14" i="90"/>
  <c r="H12" i="90"/>
  <c r="G15" i="90"/>
  <c r="G14" i="90"/>
  <c r="G12" i="90"/>
  <c r="F12" i="90"/>
  <c r="E15" i="90"/>
  <c r="E14" i="90"/>
  <c r="E12" i="90"/>
  <c r="H8" i="90"/>
  <c r="H7" i="90"/>
  <c r="H6" i="90"/>
  <c r="H4" i="90"/>
  <c r="G7" i="90"/>
  <c r="G6" i="90"/>
  <c r="G4" i="90"/>
  <c r="F4" i="90"/>
  <c r="E7" i="90"/>
  <c r="E6" i="90"/>
  <c r="E4" i="90"/>
  <c r="C13" i="86" l="1"/>
  <c r="C13" i="85"/>
  <c r="G18" i="67" l="1"/>
  <c r="F18" i="67"/>
  <c r="G18" i="11"/>
  <c r="F18" i="11"/>
  <c r="G47" i="11" l="1"/>
  <c r="F47" i="11"/>
  <c r="E47" i="11"/>
  <c r="D47" i="11"/>
  <c r="G44" i="11"/>
  <c r="F44" i="11"/>
  <c r="E44" i="11"/>
  <c r="D44" i="11"/>
  <c r="E86" i="86" l="1"/>
  <c r="D86" i="86"/>
  <c r="E86" i="85"/>
  <c r="D86" i="85"/>
  <c r="E87" i="84"/>
  <c r="D87" i="84"/>
  <c r="E86" i="83"/>
  <c r="D86" i="83"/>
  <c r="E87" i="89"/>
  <c r="D87" i="89"/>
  <c r="E87" i="88"/>
  <c r="D87" i="88"/>
  <c r="G87" i="67"/>
  <c r="F87" i="67"/>
  <c r="E87" i="67"/>
  <c r="D87" i="67"/>
  <c r="G86" i="11"/>
  <c r="F86" i="11"/>
  <c r="E86" i="11"/>
  <c r="D86" i="11"/>
  <c r="H21" i="59" l="1"/>
  <c r="H20" i="59"/>
  <c r="H19" i="59"/>
  <c r="H18" i="59"/>
  <c r="E48" i="67" l="1"/>
  <c r="G48" i="67"/>
  <c r="F48" i="67"/>
  <c r="D48" i="67"/>
  <c r="E45" i="67"/>
  <c r="G45" i="67"/>
  <c r="F45" i="67"/>
  <c r="D45" i="67"/>
  <c r="E6" i="82" l="1"/>
  <c r="G6" i="82" s="1"/>
  <c r="H6" i="82" s="1"/>
  <c r="E5" i="82"/>
  <c r="G5" i="82" s="1"/>
  <c r="H5" i="82" s="1"/>
  <c r="E4" i="82"/>
  <c r="G4" i="82" s="1"/>
  <c r="H4" i="82" s="1"/>
  <c r="A4" i="82"/>
  <c r="A5" i="82" s="1"/>
  <c r="E3" i="82"/>
  <c r="G3" i="82" s="1"/>
  <c r="H3" i="82" s="1"/>
  <c r="H7" i="82" l="1"/>
  <c r="E85" i="11" l="1"/>
  <c r="D85" i="11"/>
  <c r="G85" i="11"/>
  <c r="F85" i="11"/>
  <c r="F14" i="59"/>
  <c r="F12" i="59"/>
  <c r="F6" i="59"/>
  <c r="G6" i="59" s="1"/>
  <c r="H6" i="59" s="1"/>
  <c r="F4" i="59"/>
  <c r="G4" i="59" s="1"/>
  <c r="H4" i="59" s="1"/>
  <c r="G16" i="59"/>
  <c r="H16" i="59" s="1"/>
  <c r="G14" i="59"/>
  <c r="H14" i="59" s="1"/>
  <c r="G12" i="59"/>
  <c r="H12" i="59" s="1"/>
  <c r="G8" i="59"/>
  <c r="H8" i="59" s="1"/>
  <c r="D108" i="89"/>
  <c r="D106" i="89"/>
  <c r="D61" i="89"/>
  <c r="D60" i="89"/>
  <c r="D59" i="89"/>
  <c r="D58" i="89"/>
  <c r="D57" i="89"/>
  <c r="D62" i="89"/>
  <c r="D52" i="89"/>
  <c r="D51" i="89"/>
  <c r="D40" i="89"/>
  <c r="D39" i="89"/>
  <c r="D38" i="89"/>
  <c r="D37" i="89"/>
  <c r="D36" i="89"/>
  <c r="D35" i="89"/>
  <c r="D34" i="89"/>
  <c r="D33" i="89"/>
  <c r="D41" i="89"/>
  <c r="D29" i="89"/>
  <c r="D28" i="89"/>
  <c r="D30" i="89"/>
  <c r="D18" i="89"/>
  <c r="D20" i="89"/>
  <c r="D58" i="88"/>
  <c r="D18" i="88"/>
  <c r="D20" i="88"/>
  <c r="D25" i="88"/>
  <c r="D57" i="88" s="1"/>
  <c r="E20" i="86"/>
  <c r="D20" i="86"/>
  <c r="E20" i="85"/>
  <c r="D20" i="85"/>
  <c r="E20" i="84"/>
  <c r="D20" i="84"/>
  <c r="E20" i="83"/>
  <c r="D20" i="83"/>
  <c r="E20" i="89"/>
  <c r="E20" i="88"/>
  <c r="E20" i="67"/>
  <c r="G20" i="67"/>
  <c r="F20" i="67"/>
  <c r="D20" i="67"/>
  <c r="E20" i="11"/>
  <c r="G20" i="11"/>
  <c r="F20" i="11"/>
  <c r="D20" i="11"/>
  <c r="D74" i="86"/>
  <c r="D18" i="86"/>
  <c r="D74" i="85"/>
  <c r="D18" i="85"/>
  <c r="D25" i="85"/>
  <c r="D18" i="84"/>
  <c r="D74" i="83"/>
  <c r="D48" i="83"/>
  <c r="D52" i="83" s="1"/>
  <c r="D18" i="83"/>
  <c r="D25" i="83"/>
  <c r="F47" i="67"/>
  <c r="D18" i="67"/>
  <c r="D73" i="11"/>
  <c r="D74" i="11" s="1"/>
  <c r="D18" i="11"/>
  <c r="D46" i="11" s="1"/>
  <c r="F73" i="11"/>
  <c r="F74" i="11" s="1"/>
  <c r="F46" i="11"/>
  <c r="D47" i="67" l="1"/>
  <c r="D21" i="67"/>
  <c r="D25" i="11"/>
  <c r="D57" i="11" s="1"/>
  <c r="F48" i="11"/>
  <c r="F52" i="11" s="1"/>
  <c r="D48" i="11"/>
  <c r="D52" i="11" s="1"/>
  <c r="D49" i="67"/>
  <c r="D53" i="67" s="1"/>
  <c r="F49" i="67"/>
  <c r="F53" i="67" s="1"/>
  <c r="E86" i="88"/>
  <c r="E86" i="67"/>
  <c r="E86" i="89"/>
  <c r="D86" i="89"/>
  <c r="D86" i="88"/>
  <c r="D86" i="67"/>
  <c r="D85" i="86"/>
  <c r="D85" i="83"/>
  <c r="D86" i="84"/>
  <c r="D85" i="85"/>
  <c r="F86" i="67"/>
  <c r="E85" i="86"/>
  <c r="E85" i="83"/>
  <c r="E86" i="84"/>
  <c r="G86" i="67"/>
  <c r="E85" i="85"/>
  <c r="D49" i="89"/>
  <c r="D53" i="89" s="1"/>
  <c r="D54" i="89" s="1"/>
  <c r="D49" i="84"/>
  <c r="D53" i="84" s="1"/>
  <c r="D48" i="86"/>
  <c r="D52" i="86" s="1"/>
  <c r="D48" i="85"/>
  <c r="D52" i="85" s="1"/>
  <c r="D59" i="88"/>
  <c r="D62" i="88" s="1"/>
  <c r="D108" i="88" s="1"/>
  <c r="D60" i="88"/>
  <c r="D61" i="88"/>
  <c r="D49" i="88"/>
  <c r="D53" i="88" s="1"/>
  <c r="D29" i="88"/>
  <c r="D106" i="88"/>
  <c r="F25" i="11"/>
  <c r="F57" i="11" s="1"/>
  <c r="D21" i="89"/>
  <c r="D25" i="89" s="1"/>
  <c r="D105" i="83"/>
  <c r="D60" i="83"/>
  <c r="D59" i="83"/>
  <c r="D58" i="83"/>
  <c r="D57" i="83"/>
  <c r="D56" i="83"/>
  <c r="D61" i="83" s="1"/>
  <c r="D107" i="83" s="1"/>
  <c r="D29" i="83"/>
  <c r="D28" i="83"/>
  <c r="D30" i="83" s="1"/>
  <c r="D105" i="85"/>
  <c r="D60" i="85"/>
  <c r="D59" i="85"/>
  <c r="D58" i="85"/>
  <c r="D57" i="85"/>
  <c r="D56" i="85"/>
  <c r="D61" i="85" s="1"/>
  <c r="D107" i="85" s="1"/>
  <c r="D29" i="85"/>
  <c r="D28" i="85"/>
  <c r="D21" i="86"/>
  <c r="D25" i="86" s="1"/>
  <c r="D21" i="84"/>
  <c r="D25" i="84" s="1"/>
  <c r="F21" i="67"/>
  <c r="F25" i="67" s="1"/>
  <c r="D25" i="67"/>
  <c r="C103" i="89"/>
  <c r="C95" i="89"/>
  <c r="C75" i="89"/>
  <c r="C71" i="89"/>
  <c r="C79" i="89" s="1"/>
  <c r="C81" i="89" s="1"/>
  <c r="C41" i="89"/>
  <c r="C28" i="89"/>
  <c r="C30" i="89" s="1"/>
  <c r="E18" i="89"/>
  <c r="C103" i="88"/>
  <c r="C95" i="88" s="1"/>
  <c r="C75" i="88"/>
  <c r="C71" i="88"/>
  <c r="C79" i="88" s="1"/>
  <c r="C81" i="88" s="1"/>
  <c r="C41" i="88"/>
  <c r="C28" i="88"/>
  <c r="C30" i="88" s="1"/>
  <c r="E18" i="88"/>
  <c r="D30" i="85" l="1"/>
  <c r="D33" i="85" s="1"/>
  <c r="D58" i="11"/>
  <c r="D59" i="11"/>
  <c r="D105" i="11"/>
  <c r="D60" i="11"/>
  <c r="D29" i="11"/>
  <c r="D56" i="11"/>
  <c r="F59" i="11"/>
  <c r="F60" i="11"/>
  <c r="F58" i="11"/>
  <c r="F105" i="11"/>
  <c r="F56" i="11"/>
  <c r="F29" i="11"/>
  <c r="D107" i="89"/>
  <c r="D74" i="89"/>
  <c r="D75" i="89" s="1"/>
  <c r="D80" i="89"/>
  <c r="D28" i="88"/>
  <c r="D30" i="88" s="1"/>
  <c r="D51" i="88" s="1"/>
  <c r="D106" i="84"/>
  <c r="D61" i="84"/>
  <c r="D60" i="84"/>
  <c r="D59" i="84"/>
  <c r="D58" i="84"/>
  <c r="D57" i="84"/>
  <c r="D62" i="84" s="1"/>
  <c r="D108" i="84" s="1"/>
  <c r="D29" i="84"/>
  <c r="D28" i="84"/>
  <c r="D30" i="84" s="1"/>
  <c r="D50" i="83"/>
  <c r="D40" i="83"/>
  <c r="D39" i="83"/>
  <c r="D38" i="83"/>
  <c r="D37" i="83"/>
  <c r="D36" i="83"/>
  <c r="D35" i="83"/>
  <c r="D34" i="83"/>
  <c r="D33" i="83"/>
  <c r="D41" i="83" s="1"/>
  <c r="D51" i="83" s="1"/>
  <c r="D105" i="86"/>
  <c r="D60" i="86"/>
  <c r="D59" i="86"/>
  <c r="D58" i="86"/>
  <c r="D57" i="86"/>
  <c r="D56" i="86"/>
  <c r="D29" i="86"/>
  <c r="D28" i="86"/>
  <c r="D30" i="86" s="1"/>
  <c r="D106" i="67"/>
  <c r="D61" i="67"/>
  <c r="D60" i="67"/>
  <c r="D59" i="67"/>
  <c r="D58" i="67"/>
  <c r="D57" i="67"/>
  <c r="D29" i="67"/>
  <c r="F106" i="67"/>
  <c r="F61" i="67"/>
  <c r="F60" i="67"/>
  <c r="F59" i="67"/>
  <c r="F58" i="67"/>
  <c r="F57" i="67"/>
  <c r="F29" i="67"/>
  <c r="E21" i="89"/>
  <c r="E25" i="89" s="1"/>
  <c r="E49" i="89"/>
  <c r="E53" i="89" s="1"/>
  <c r="E49" i="88"/>
  <c r="E53" i="88" s="1"/>
  <c r="E25" i="88"/>
  <c r="D61" i="86" l="1"/>
  <c r="D107" i="86" s="1"/>
  <c r="D36" i="85"/>
  <c r="D39" i="85"/>
  <c r="D50" i="85"/>
  <c r="D34" i="85"/>
  <c r="D41" i="85" s="1"/>
  <c r="D51" i="85" s="1"/>
  <c r="D53" i="85" s="1"/>
  <c r="D35" i="85"/>
  <c r="D37" i="85"/>
  <c r="D40" i="85"/>
  <c r="D38" i="85"/>
  <c r="F61" i="11"/>
  <c r="F107" i="11" s="1"/>
  <c r="D61" i="11"/>
  <c r="D107" i="11" s="1"/>
  <c r="F62" i="67"/>
  <c r="F108" i="67" s="1"/>
  <c r="D62" i="67"/>
  <c r="D108" i="67" s="1"/>
  <c r="D36" i="88"/>
  <c r="D35" i="88"/>
  <c r="D34" i="88"/>
  <c r="D33" i="88"/>
  <c r="D40" i="88"/>
  <c r="D39" i="88"/>
  <c r="D38" i="88"/>
  <c r="D37" i="88"/>
  <c r="D51" i="84"/>
  <c r="D53" i="83"/>
  <c r="D50" i="86"/>
  <c r="D40" i="86"/>
  <c r="D39" i="86"/>
  <c r="D38" i="86"/>
  <c r="D37" i="86"/>
  <c r="D36" i="86"/>
  <c r="D35" i="86"/>
  <c r="D34" i="86"/>
  <c r="D33" i="86"/>
  <c r="D41" i="86" s="1"/>
  <c r="D51" i="86" s="1"/>
  <c r="E106" i="89"/>
  <c r="E61" i="89"/>
  <c r="E60" i="89"/>
  <c r="E59" i="89"/>
  <c r="E58" i="89"/>
  <c r="E57" i="89"/>
  <c r="E62" i="89" s="1"/>
  <c r="E108" i="89" s="1"/>
  <c r="E29" i="89"/>
  <c r="E28" i="89"/>
  <c r="E30" i="89" s="1"/>
  <c r="E106" i="88"/>
  <c r="E61" i="88"/>
  <c r="E60" i="88"/>
  <c r="E59" i="88"/>
  <c r="E58" i="88"/>
  <c r="E57" i="88"/>
  <c r="E29" i="88"/>
  <c r="E28" i="88"/>
  <c r="E30" i="88" s="1"/>
  <c r="D41" i="88" l="1"/>
  <c r="D52" i="88" s="1"/>
  <c r="D54" i="88" s="1"/>
  <c r="E62" i="88"/>
  <c r="E108" i="88" s="1"/>
  <c r="D106" i="83"/>
  <c r="D79" i="83"/>
  <c r="D53" i="86"/>
  <c r="D106" i="85"/>
  <c r="D79" i="85"/>
  <c r="E51" i="89"/>
  <c r="E40" i="89"/>
  <c r="E39" i="89"/>
  <c r="E38" i="89"/>
  <c r="E37" i="89"/>
  <c r="E36" i="89"/>
  <c r="E35" i="89"/>
  <c r="E34" i="89"/>
  <c r="E33" i="89"/>
  <c r="E41" i="89" s="1"/>
  <c r="E52" i="89" s="1"/>
  <c r="E51" i="88"/>
  <c r="E40" i="88"/>
  <c r="E39" i="88"/>
  <c r="E38" i="88"/>
  <c r="E37" i="88"/>
  <c r="E36" i="88"/>
  <c r="E35" i="88"/>
  <c r="E34" i="88"/>
  <c r="E33" i="88"/>
  <c r="E41" i="88" l="1"/>
  <c r="E52" i="88" s="1"/>
  <c r="D107" i="88"/>
  <c r="D74" i="88"/>
  <c r="D75" i="88" s="1"/>
  <c r="D80" i="88"/>
  <c r="D106" i="86"/>
  <c r="D79" i="86"/>
  <c r="E54" i="89"/>
  <c r="E54" i="88"/>
  <c r="E107" i="89" l="1"/>
  <c r="E80" i="89"/>
  <c r="E74" i="89"/>
  <c r="E75" i="89" s="1"/>
  <c r="E107" i="88"/>
  <c r="E80" i="88"/>
  <c r="E74" i="88"/>
  <c r="E75" i="88" s="1"/>
  <c r="E74" i="83" l="1"/>
  <c r="G47" i="67"/>
  <c r="G73" i="11"/>
  <c r="G74" i="11"/>
  <c r="G46" i="11" l="1"/>
  <c r="G48" i="11" s="1"/>
  <c r="G52" i="11" s="1"/>
  <c r="G25" i="11"/>
  <c r="G60" i="11" s="1"/>
  <c r="G49" i="67"/>
  <c r="G53" i="67" s="1"/>
  <c r="G21" i="67"/>
  <c r="G25" i="67" s="1"/>
  <c r="C102" i="86"/>
  <c r="C94" i="86"/>
  <c r="E74" i="86"/>
  <c r="C70" i="86"/>
  <c r="C78" i="86" s="1"/>
  <c r="C80" i="86" s="1"/>
  <c r="C41" i="86"/>
  <c r="C28" i="86"/>
  <c r="C30" i="86" s="1"/>
  <c r="E18" i="86"/>
  <c r="C102" i="85"/>
  <c r="C94" i="85"/>
  <c r="E74" i="85"/>
  <c r="C70" i="85"/>
  <c r="C78" i="85" s="1"/>
  <c r="C80" i="85" s="1"/>
  <c r="C41" i="85"/>
  <c r="C28" i="85"/>
  <c r="C30" i="85" s="1"/>
  <c r="E18" i="85"/>
  <c r="C103" i="84"/>
  <c r="C95" i="84"/>
  <c r="C81" i="84"/>
  <c r="C75" i="84"/>
  <c r="C71" i="84"/>
  <c r="C41" i="84"/>
  <c r="C28" i="84"/>
  <c r="C30" i="84" s="1"/>
  <c r="E18" i="84"/>
  <c r="C102" i="83"/>
  <c r="C94" i="83"/>
  <c r="C70" i="83"/>
  <c r="C78" i="83" s="1"/>
  <c r="C80" i="83" s="1"/>
  <c r="C41" i="83"/>
  <c r="C28" i="83"/>
  <c r="E18" i="83"/>
  <c r="G56" i="11" l="1"/>
  <c r="G105" i="11"/>
  <c r="G29" i="11"/>
  <c r="G57" i="11"/>
  <c r="G58" i="11"/>
  <c r="G59" i="11"/>
  <c r="G106" i="67"/>
  <c r="G61" i="67"/>
  <c r="G60" i="67"/>
  <c r="G59" i="67"/>
  <c r="G58" i="67"/>
  <c r="G57" i="67"/>
  <c r="G62" i="67" s="1"/>
  <c r="G108" i="67" s="1"/>
  <c r="G29" i="67"/>
  <c r="C30" i="83"/>
  <c r="E48" i="86"/>
  <c r="E52" i="86" s="1"/>
  <c r="E21" i="86"/>
  <c r="E25" i="86" s="1"/>
  <c r="E48" i="85"/>
  <c r="E52" i="85" s="1"/>
  <c r="E25" i="85"/>
  <c r="E49" i="84"/>
  <c r="E53" i="84" s="1"/>
  <c r="E21" i="84"/>
  <c r="E25" i="84" s="1"/>
  <c r="E48" i="83"/>
  <c r="E52" i="83" s="1"/>
  <c r="E25" i="83"/>
  <c r="G61" i="11" l="1"/>
  <c r="G107" i="11" s="1"/>
  <c r="D40" i="84"/>
  <c r="D39" i="84"/>
  <c r="D38" i="84"/>
  <c r="D37" i="84"/>
  <c r="D36" i="84"/>
  <c r="D35" i="84"/>
  <c r="D34" i="84"/>
  <c r="D33" i="84"/>
  <c r="D41" i="84" s="1"/>
  <c r="D52" i="84" s="1"/>
  <c r="D54" i="84" s="1"/>
  <c r="E105" i="86"/>
  <c r="E60" i="86"/>
  <c r="E59" i="86"/>
  <c r="E58" i="86"/>
  <c r="E57" i="86"/>
  <c r="E56" i="86"/>
  <c r="E29" i="86"/>
  <c r="E28" i="86"/>
  <c r="E30" i="86" s="1"/>
  <c r="E105" i="85"/>
  <c r="E60" i="85"/>
  <c r="E59" i="85"/>
  <c r="E58" i="85"/>
  <c r="E57" i="85"/>
  <c r="E56" i="85"/>
  <c r="E61" i="85" s="1"/>
  <c r="E107" i="85" s="1"/>
  <c r="E29" i="85"/>
  <c r="E28" i="85"/>
  <c r="E106" i="84"/>
  <c r="E61" i="84"/>
  <c r="E60" i="84"/>
  <c r="E59" i="84"/>
  <c r="E58" i="84"/>
  <c r="E57" i="84"/>
  <c r="E62" i="84" s="1"/>
  <c r="E108" i="84" s="1"/>
  <c r="E29" i="84"/>
  <c r="E28" i="84"/>
  <c r="E30" i="84" s="1"/>
  <c r="E105" i="83"/>
  <c r="E60" i="83"/>
  <c r="E59" i="83"/>
  <c r="E58" i="83"/>
  <c r="E57" i="83"/>
  <c r="E56" i="83"/>
  <c r="E61" i="83" s="1"/>
  <c r="E107" i="83" s="1"/>
  <c r="E29" i="83"/>
  <c r="E28" i="83"/>
  <c r="E30" i="83" s="1"/>
  <c r="E61" i="86" l="1"/>
  <c r="E107" i="86" s="1"/>
  <c r="E30" i="85"/>
  <c r="D107" i="84"/>
  <c r="D80" i="84"/>
  <c r="D74" i="84"/>
  <c r="D75" i="84" s="1"/>
  <c r="E50" i="86"/>
  <c r="E40" i="86"/>
  <c r="E39" i="86"/>
  <c r="E38" i="86"/>
  <c r="E37" i="86"/>
  <c r="E36" i="86"/>
  <c r="E35" i="86"/>
  <c r="E34" i="86"/>
  <c r="E33" i="86"/>
  <c r="E50" i="85"/>
  <c r="E40" i="85"/>
  <c r="E39" i="85"/>
  <c r="E38" i="85"/>
  <c r="E37" i="85"/>
  <c r="E36" i="85"/>
  <c r="E35" i="85"/>
  <c r="E34" i="85"/>
  <c r="E33" i="85"/>
  <c r="E41" i="85" s="1"/>
  <c r="E51" i="85" s="1"/>
  <c r="E51" i="84"/>
  <c r="E40" i="84"/>
  <c r="E39" i="84"/>
  <c r="E38" i="84"/>
  <c r="E37" i="84"/>
  <c r="E36" i="84"/>
  <c r="E35" i="84"/>
  <c r="E34" i="84"/>
  <c r="E33" i="84"/>
  <c r="E41" i="84" s="1"/>
  <c r="E52" i="84" s="1"/>
  <c r="E50" i="83"/>
  <c r="E40" i="83"/>
  <c r="E39" i="83"/>
  <c r="E38" i="83"/>
  <c r="E37" i="83"/>
  <c r="E36" i="83"/>
  <c r="E35" i="83"/>
  <c r="E34" i="83"/>
  <c r="E33" i="83"/>
  <c r="E41" i="83" s="1"/>
  <c r="E51" i="83" s="1"/>
  <c r="E41" i="86" l="1"/>
  <c r="E51" i="86" s="1"/>
  <c r="E53" i="86" s="1"/>
  <c r="E53" i="85"/>
  <c r="E54" i="84"/>
  <c r="E53" i="83"/>
  <c r="E106" i="86" l="1"/>
  <c r="E79" i="86"/>
  <c r="E106" i="85"/>
  <c r="E79" i="85"/>
  <c r="E107" i="84"/>
  <c r="E80" i="84"/>
  <c r="E74" i="84"/>
  <c r="E75" i="84" s="1"/>
  <c r="E106" i="83"/>
  <c r="E79" i="83"/>
  <c r="E18" i="11" l="1"/>
  <c r="E46" i="11" s="1"/>
  <c r="E73" i="11"/>
  <c r="E74" i="11" s="1"/>
  <c r="E25" i="11" l="1"/>
  <c r="E48" i="11"/>
  <c r="E52" i="11" s="1"/>
  <c r="E60" i="11"/>
  <c r="E29" i="11"/>
  <c r="E59" i="11"/>
  <c r="E58" i="11"/>
  <c r="E57" i="11" l="1"/>
  <c r="E56" i="11"/>
  <c r="E61" i="11" s="1"/>
  <c r="E107" i="11" s="1"/>
  <c r="E105" i="11"/>
  <c r="E18" i="67"/>
  <c r="E21" i="67" s="1"/>
  <c r="E47" i="67" l="1"/>
  <c r="E49" i="67" s="1"/>
  <c r="E53" i="67" s="1"/>
  <c r="C75" i="67"/>
  <c r="D85" i="89" l="1"/>
  <c r="D84" i="86"/>
  <c r="F85" i="67"/>
  <c r="F89" i="67" s="1"/>
  <c r="F110" i="67" s="1"/>
  <c r="D84" i="85"/>
  <c r="G85" i="67"/>
  <c r="G89" i="67" s="1"/>
  <c r="G110" i="67" s="1"/>
  <c r="E84" i="85"/>
  <c r="E64" i="85" s="1"/>
  <c r="D85" i="67"/>
  <c r="D89" i="67" s="1"/>
  <c r="D110" i="67" s="1"/>
  <c r="E84" i="11"/>
  <c r="E88" i="11" s="1"/>
  <c r="E109" i="11" s="1"/>
  <c r="E85" i="89"/>
  <c r="E84" i="86"/>
  <c r="E69" i="86" s="1"/>
  <c r="D85" i="88"/>
  <c r="E85" i="84"/>
  <c r="E69" i="84" s="1"/>
  <c r="G84" i="11"/>
  <c r="G88" i="11" s="1"/>
  <c r="G109" i="11" s="1"/>
  <c r="F84" i="11"/>
  <c r="F88" i="11" s="1"/>
  <c r="F109" i="11" s="1"/>
  <c r="E84" i="83"/>
  <c r="E65" i="83" s="1"/>
  <c r="E85" i="88"/>
  <c r="E85" i="67"/>
  <c r="D85" i="84"/>
  <c r="D84" i="11"/>
  <c r="D88" i="11" s="1"/>
  <c r="D109" i="11" s="1"/>
  <c r="D84" i="83"/>
  <c r="E69" i="83"/>
  <c r="E68" i="83"/>
  <c r="E67" i="83"/>
  <c r="E66" i="83"/>
  <c r="C70" i="11"/>
  <c r="C78" i="11" s="1"/>
  <c r="E68" i="85" l="1"/>
  <c r="E69" i="85"/>
  <c r="E64" i="86"/>
  <c r="E88" i="86"/>
  <c r="E109" i="86" s="1"/>
  <c r="E65" i="84"/>
  <c r="E89" i="84"/>
  <c r="E110" i="84" s="1"/>
  <c r="E65" i="86"/>
  <c r="E89" i="89"/>
  <c r="E70" i="89"/>
  <c r="E68" i="89"/>
  <c r="E69" i="89"/>
  <c r="E66" i="89"/>
  <c r="E65" i="89"/>
  <c r="E67" i="89"/>
  <c r="E66" i="86"/>
  <c r="D88" i="83"/>
  <c r="D64" i="83"/>
  <c r="D68" i="83"/>
  <c r="D66" i="83"/>
  <c r="D67" i="83"/>
  <c r="D69" i="83"/>
  <c r="D65" i="83"/>
  <c r="E67" i="86"/>
  <c r="E68" i="86"/>
  <c r="D89" i="84"/>
  <c r="D70" i="84"/>
  <c r="D68" i="84"/>
  <c r="D67" i="84"/>
  <c r="D65" i="84"/>
  <c r="D69" i="84"/>
  <c r="D66" i="84"/>
  <c r="E88" i="85"/>
  <c r="E109" i="85" s="1"/>
  <c r="E70" i="84"/>
  <c r="E89" i="88"/>
  <c r="E67" i="88"/>
  <c r="E70" i="88"/>
  <c r="E66" i="88"/>
  <c r="E65" i="88"/>
  <c r="E69" i="88"/>
  <c r="E68" i="88"/>
  <c r="D88" i="85"/>
  <c r="D64" i="85"/>
  <c r="D69" i="85"/>
  <c r="D67" i="85"/>
  <c r="D66" i="85"/>
  <c r="D68" i="85"/>
  <c r="D65" i="85"/>
  <c r="D89" i="88"/>
  <c r="D67" i="88"/>
  <c r="D68" i="88"/>
  <c r="D69" i="88"/>
  <c r="D70" i="88"/>
  <c r="D66" i="88"/>
  <c r="D65" i="88"/>
  <c r="E66" i="84"/>
  <c r="E88" i="83"/>
  <c r="E109" i="83" s="1"/>
  <c r="E66" i="85"/>
  <c r="E64" i="83"/>
  <c r="E70" i="83" s="1"/>
  <c r="E78" i="83" s="1"/>
  <c r="E80" i="83" s="1"/>
  <c r="E81" i="83" s="1"/>
  <c r="E108" i="83" s="1"/>
  <c r="D88" i="86"/>
  <c r="D68" i="86"/>
  <c r="D66" i="86"/>
  <c r="D69" i="86"/>
  <c r="D64" i="86"/>
  <c r="D67" i="86"/>
  <c r="D65" i="86"/>
  <c r="E67" i="84"/>
  <c r="E68" i="84"/>
  <c r="E65" i="85"/>
  <c r="E67" i="85"/>
  <c r="D70" i="89"/>
  <c r="D69" i="89"/>
  <c r="D89" i="89"/>
  <c r="D67" i="89"/>
  <c r="D68" i="89"/>
  <c r="D66" i="89"/>
  <c r="D65" i="89"/>
  <c r="C71" i="67"/>
  <c r="C79" i="67" s="1"/>
  <c r="E70" i="85" l="1"/>
  <c r="E70" i="86"/>
  <c r="E78" i="86" s="1"/>
  <c r="E80" i="86" s="1"/>
  <c r="E81" i="86" s="1"/>
  <c r="E108" i="86" s="1"/>
  <c r="E110" i="86" s="1"/>
  <c r="E71" i="84"/>
  <c r="E79" i="84" s="1"/>
  <c r="E81" i="84" s="1"/>
  <c r="E82" i="84" s="1"/>
  <c r="E109" i="84" s="1"/>
  <c r="E111" i="84" s="1"/>
  <c r="D71" i="89"/>
  <c r="D79" i="89" s="1"/>
  <c r="D81" i="89" s="1"/>
  <c r="D82" i="89" s="1"/>
  <c r="D109" i="89" s="1"/>
  <c r="D109" i="83"/>
  <c r="E71" i="88"/>
  <c r="E79" i="88" s="1"/>
  <c r="E81" i="88" s="1"/>
  <c r="E82" i="88" s="1"/>
  <c r="E109" i="88" s="1"/>
  <c r="D70" i="86"/>
  <c r="D78" i="86" s="1"/>
  <c r="D80" i="86" s="1"/>
  <c r="D81" i="86" s="1"/>
  <c r="D108" i="86" s="1"/>
  <c r="D110" i="84"/>
  <c r="E71" i="89"/>
  <c r="E79" i="89" s="1"/>
  <c r="E81" i="89" s="1"/>
  <c r="E82" i="89" s="1"/>
  <c r="E109" i="89" s="1"/>
  <c r="D110" i="88"/>
  <c r="D90" i="88"/>
  <c r="D93" i="88" s="1"/>
  <c r="D94" i="88" s="1"/>
  <c r="D95" i="88" s="1"/>
  <c r="D96" i="88" s="1"/>
  <c r="D110" i="89"/>
  <c r="D111" i="89" s="1"/>
  <c r="E110" i="88"/>
  <c r="E110" i="89"/>
  <c r="D71" i="88"/>
  <c r="D79" i="88" s="1"/>
  <c r="D81" i="88" s="1"/>
  <c r="D82" i="88" s="1"/>
  <c r="D109" i="88" s="1"/>
  <c r="D70" i="85"/>
  <c r="D78" i="85" s="1"/>
  <c r="D80" i="85" s="1"/>
  <c r="D81" i="85" s="1"/>
  <c r="D108" i="85" s="1"/>
  <c r="D109" i="86"/>
  <c r="D109" i="85"/>
  <c r="D71" i="84"/>
  <c r="D79" i="84" s="1"/>
  <c r="D81" i="84" s="1"/>
  <c r="D82" i="84" s="1"/>
  <c r="D109" i="84" s="1"/>
  <c r="D70" i="83"/>
  <c r="D78" i="83" s="1"/>
  <c r="D80" i="83" s="1"/>
  <c r="D81" i="83" s="1"/>
  <c r="D108" i="83" s="1"/>
  <c r="E89" i="83"/>
  <c r="E92" i="83" s="1"/>
  <c r="E93" i="83" s="1"/>
  <c r="E94" i="83" s="1"/>
  <c r="E95" i="83" s="1"/>
  <c r="E110" i="83"/>
  <c r="E90" i="84"/>
  <c r="E93" i="84" s="1"/>
  <c r="E94" i="84" s="1"/>
  <c r="E95" i="84" s="1"/>
  <c r="E96" i="84" s="1"/>
  <c r="C103" i="67"/>
  <c r="C95" i="67" s="1"/>
  <c r="C41" i="67"/>
  <c r="C81" i="67" s="1"/>
  <c r="C28" i="67"/>
  <c r="G28" i="67" l="1"/>
  <c r="G30" i="67" s="1"/>
  <c r="G51" i="67" s="1"/>
  <c r="D28" i="67"/>
  <c r="D30" i="67" s="1"/>
  <c r="D51" i="67" s="1"/>
  <c r="F28" i="67"/>
  <c r="F30" i="67" s="1"/>
  <c r="F51" i="67" s="1"/>
  <c r="D110" i="83"/>
  <c r="E111" i="89"/>
  <c r="E89" i="86"/>
  <c r="E92" i="86" s="1"/>
  <c r="E93" i="86" s="1"/>
  <c r="D111" i="84"/>
  <c r="D90" i="89"/>
  <c r="D93" i="89" s="1"/>
  <c r="D94" i="89" s="1"/>
  <c r="D95" i="89" s="1"/>
  <c r="D96" i="89" s="1"/>
  <c r="E111" i="88"/>
  <c r="D110" i="85"/>
  <c r="D89" i="86"/>
  <c r="D92" i="86" s="1"/>
  <c r="D93" i="86" s="1"/>
  <c r="D94" i="86" s="1"/>
  <c r="D95" i="86" s="1"/>
  <c r="D97" i="86" s="1"/>
  <c r="D90" i="84"/>
  <c r="D99" i="88"/>
  <c r="D102" i="88"/>
  <c r="D98" i="88"/>
  <c r="D111" i="88"/>
  <c r="D110" i="86"/>
  <c r="D89" i="85"/>
  <c r="D92" i="85" s="1"/>
  <c r="D93" i="85" s="1"/>
  <c r="D94" i="85" s="1"/>
  <c r="D95" i="85" s="1"/>
  <c r="E90" i="88"/>
  <c r="D89" i="83"/>
  <c r="E90" i="89"/>
  <c r="E102" i="84"/>
  <c r="E99" i="84"/>
  <c r="E98" i="84"/>
  <c r="E101" i="83"/>
  <c r="E98" i="83"/>
  <c r="E97" i="83"/>
  <c r="E25" i="67"/>
  <c r="C30" i="67"/>
  <c r="D98" i="86" l="1"/>
  <c r="E94" i="86"/>
  <c r="E95" i="86" s="1"/>
  <c r="E101" i="86" s="1"/>
  <c r="D103" i="88"/>
  <c r="D104" i="88" s="1"/>
  <c r="D112" i="88" s="1"/>
  <c r="D113" i="88" s="1"/>
  <c r="D101" i="86"/>
  <c r="D99" i="89"/>
  <c r="D102" i="89"/>
  <c r="D98" i="89"/>
  <c r="D98" i="85"/>
  <c r="D101" i="85"/>
  <c r="D97" i="85"/>
  <c r="D93" i="84"/>
  <c r="D94" i="84" s="1"/>
  <c r="D95" i="84" s="1"/>
  <c r="D96" i="84" s="1"/>
  <c r="D92" i="83"/>
  <c r="D93" i="83" s="1"/>
  <c r="E93" i="89"/>
  <c r="E94" i="89" s="1"/>
  <c r="E93" i="88"/>
  <c r="E103" i="84"/>
  <c r="E104" i="84" s="1"/>
  <c r="E112" i="84" s="1"/>
  <c r="E113" i="84" s="1"/>
  <c r="E102" i="83"/>
  <c r="E103" i="83" s="1"/>
  <c r="E111" i="83" s="1"/>
  <c r="E112" i="83" s="1"/>
  <c r="C27" i="87" s="1"/>
  <c r="D40" i="67"/>
  <c r="D39" i="67"/>
  <c r="D38" i="67"/>
  <c r="D37" i="67"/>
  <c r="D36" i="67"/>
  <c r="D35" i="67"/>
  <c r="D34" i="67"/>
  <c r="D33" i="67"/>
  <c r="D41" i="67" s="1"/>
  <c r="D52" i="67" s="1"/>
  <c r="D54" i="67" s="1"/>
  <c r="F40" i="67"/>
  <c r="F39" i="67"/>
  <c r="F38" i="67"/>
  <c r="F37" i="67"/>
  <c r="F36" i="67"/>
  <c r="F33" i="67"/>
  <c r="F34" i="67"/>
  <c r="F35" i="67"/>
  <c r="G40" i="67"/>
  <c r="G39" i="67"/>
  <c r="G38" i="67"/>
  <c r="G37" i="67"/>
  <c r="G36" i="67"/>
  <c r="G35" i="67"/>
  <c r="G34" i="67"/>
  <c r="G33" i="67"/>
  <c r="E28" i="67"/>
  <c r="E29" i="67"/>
  <c r="E57" i="67"/>
  <c r="E58" i="67"/>
  <c r="E59" i="67"/>
  <c r="E60" i="67"/>
  <c r="E61" i="67"/>
  <c r="E106" i="67"/>
  <c r="E89" i="67"/>
  <c r="E110" i="67" s="1"/>
  <c r="D102" i="86" l="1"/>
  <c r="D103" i="86" s="1"/>
  <c r="D111" i="86" s="1"/>
  <c r="D112" i="86" s="1"/>
  <c r="C23" i="87" s="1"/>
  <c r="F23" i="87" s="1"/>
  <c r="G23" i="87" s="1"/>
  <c r="H23" i="87" s="1"/>
  <c r="D102" i="85"/>
  <c r="D103" i="85" s="1"/>
  <c r="D111" i="85" s="1"/>
  <c r="D112" i="85" s="1"/>
  <c r="C22" i="87" s="1"/>
  <c r="D103" i="89"/>
  <c r="D104" i="89" s="1"/>
  <c r="D112" i="89" s="1"/>
  <c r="D113" i="89" s="1"/>
  <c r="C16" i="87" s="1"/>
  <c r="F16" i="87" s="1"/>
  <c r="G16" i="87" s="1"/>
  <c r="H16" i="87" s="1"/>
  <c r="E97" i="86"/>
  <c r="E98" i="86"/>
  <c r="C28" i="87"/>
  <c r="F28" i="87" s="1"/>
  <c r="G28" i="87" s="1"/>
  <c r="H28" i="87" s="1"/>
  <c r="C15" i="87"/>
  <c r="F15" i="87" s="1"/>
  <c r="G15" i="87" s="1"/>
  <c r="H15" i="87" s="1"/>
  <c r="G41" i="67"/>
  <c r="G52" i="67" s="1"/>
  <c r="G54" i="67" s="1"/>
  <c r="G68" i="67" s="1"/>
  <c r="E94" i="88"/>
  <c r="E95" i="88" s="1"/>
  <c r="E96" i="88" s="1"/>
  <c r="D102" i="84"/>
  <c r="D99" i="84"/>
  <c r="D98" i="84"/>
  <c r="D94" i="83"/>
  <c r="D95" i="83" s="1"/>
  <c r="E95" i="89"/>
  <c r="E96" i="89" s="1"/>
  <c r="F27" i="87"/>
  <c r="G27" i="87" s="1"/>
  <c r="H27" i="87" s="1"/>
  <c r="F41" i="67"/>
  <c r="F52" i="67" s="1"/>
  <c r="F54" i="67" s="1"/>
  <c r="D107" i="67"/>
  <c r="D80" i="67"/>
  <c r="D74" i="67"/>
  <c r="D75" i="67" s="1"/>
  <c r="D70" i="67"/>
  <c r="D69" i="67"/>
  <c r="D68" i="67"/>
  <c r="D67" i="67"/>
  <c r="D66" i="67"/>
  <c r="D65" i="67"/>
  <c r="E62" i="67"/>
  <c r="E108" i="67" s="1"/>
  <c r="E30" i="67"/>
  <c r="E102" i="86" l="1"/>
  <c r="E103" i="86" s="1"/>
  <c r="E111" i="86" s="1"/>
  <c r="E112" i="86" s="1"/>
  <c r="C30" i="87" s="1"/>
  <c r="F30" i="87" s="1"/>
  <c r="G30" i="87" s="1"/>
  <c r="H30" i="87" s="1"/>
  <c r="G107" i="67"/>
  <c r="G69" i="67"/>
  <c r="G66" i="67"/>
  <c r="G70" i="67"/>
  <c r="G74" i="67"/>
  <c r="G75" i="67" s="1"/>
  <c r="G80" i="67"/>
  <c r="G65" i="67"/>
  <c r="G67" i="67"/>
  <c r="D103" i="84"/>
  <c r="D104" i="84" s="1"/>
  <c r="D112" i="84" s="1"/>
  <c r="D113" i="84" s="1"/>
  <c r="E98" i="88"/>
  <c r="E102" i="88"/>
  <c r="E99" i="88"/>
  <c r="E102" i="89"/>
  <c r="E99" i="89"/>
  <c r="E98" i="89"/>
  <c r="D101" i="83"/>
  <c r="D98" i="83"/>
  <c r="D97" i="83"/>
  <c r="D71" i="67"/>
  <c r="D79" i="67" s="1"/>
  <c r="D81" i="67" s="1"/>
  <c r="D82" i="67" s="1"/>
  <c r="D90" i="67" s="1"/>
  <c r="F107" i="67"/>
  <c r="F80" i="67"/>
  <c r="F74" i="67"/>
  <c r="F75" i="67" s="1"/>
  <c r="F70" i="67"/>
  <c r="F69" i="67"/>
  <c r="F68" i="67"/>
  <c r="F67" i="67"/>
  <c r="F66" i="67"/>
  <c r="F65" i="67"/>
  <c r="E51" i="67"/>
  <c r="E33" i="67"/>
  <c r="E34" i="67"/>
  <c r="E35" i="67"/>
  <c r="E36" i="67"/>
  <c r="E37" i="67"/>
  <c r="E38" i="67"/>
  <c r="E39" i="67"/>
  <c r="E40" i="67"/>
  <c r="E103" i="89" l="1"/>
  <c r="E104" i="89" s="1"/>
  <c r="E112" i="89" s="1"/>
  <c r="E113" i="89" s="1"/>
  <c r="C35" i="87" s="1"/>
  <c r="D102" i="83"/>
  <c r="D103" i="83" s="1"/>
  <c r="D111" i="83" s="1"/>
  <c r="D112" i="83" s="1"/>
  <c r="C20" i="87" s="1"/>
  <c r="F20" i="87" s="1"/>
  <c r="G20" i="87" s="1"/>
  <c r="H20" i="87" s="1"/>
  <c r="C21" i="87"/>
  <c r="F21" i="87" s="1"/>
  <c r="G21" i="87" s="1"/>
  <c r="H21" i="87" s="1"/>
  <c r="G71" i="67"/>
  <c r="G79" i="67" s="1"/>
  <c r="G81" i="67" s="1"/>
  <c r="G82" i="67" s="1"/>
  <c r="G109" i="67" s="1"/>
  <c r="G111" i="67" s="1"/>
  <c r="E103" i="88"/>
  <c r="E104" i="88" s="1"/>
  <c r="E112" i="88" s="1"/>
  <c r="E113" i="88" s="1"/>
  <c r="C34" i="87" s="1"/>
  <c r="D109" i="67"/>
  <c r="D111" i="67" s="1"/>
  <c r="F71" i="67"/>
  <c r="F79" i="67" s="1"/>
  <c r="F81" i="67" s="1"/>
  <c r="F82" i="67" s="1"/>
  <c r="F109" i="67" s="1"/>
  <c r="F111" i="67" s="1"/>
  <c r="D93" i="67"/>
  <c r="D94" i="67" s="1"/>
  <c r="E41" i="67"/>
  <c r="E52" i="67" s="1"/>
  <c r="E54" i="67" s="1"/>
  <c r="G90" i="67" l="1"/>
  <c r="G93" i="67" s="1"/>
  <c r="G94" i="67" s="1"/>
  <c r="G95" i="67" s="1"/>
  <c r="G96" i="67" s="1"/>
  <c r="F90" i="67"/>
  <c r="F93" i="67" s="1"/>
  <c r="F94" i="67" s="1"/>
  <c r="D95" i="67"/>
  <c r="D96" i="67" s="1"/>
  <c r="D102" i="67" s="1"/>
  <c r="E107" i="67"/>
  <c r="E65" i="67"/>
  <c r="E66" i="67"/>
  <c r="E67" i="67"/>
  <c r="E68" i="67"/>
  <c r="E69" i="67"/>
  <c r="E70" i="67"/>
  <c r="E74" i="67"/>
  <c r="E75" i="67" s="1"/>
  <c r="E80" i="67"/>
  <c r="G98" i="67" l="1"/>
  <c r="G99" i="67"/>
  <c r="G102" i="67"/>
  <c r="D98" i="67"/>
  <c r="F95" i="67"/>
  <c r="F96" i="67" s="1"/>
  <c r="F102" i="67" s="1"/>
  <c r="D99" i="67"/>
  <c r="D103" i="67" s="1"/>
  <c r="D104" i="67" s="1"/>
  <c r="D112" i="67" s="1"/>
  <c r="D113" i="67" s="1"/>
  <c r="F35" i="87"/>
  <c r="G35" i="87" s="1"/>
  <c r="H35" i="87" s="1"/>
  <c r="E71" i="67"/>
  <c r="E79" i="67" s="1"/>
  <c r="E81" i="67" s="1"/>
  <c r="E82" i="67" s="1"/>
  <c r="F98" i="67" l="1"/>
  <c r="G103" i="67"/>
  <c r="G104" i="67" s="1"/>
  <c r="G112" i="67" s="1"/>
  <c r="G113" i="67" s="1"/>
  <c r="C26" i="87" s="1"/>
  <c r="F99" i="67"/>
  <c r="C14" i="87"/>
  <c r="F14" i="87" s="1"/>
  <c r="G14" i="87" s="1"/>
  <c r="H14" i="87" s="1"/>
  <c r="E90" i="67"/>
  <c r="E109" i="67"/>
  <c r="E111" i="67" s="1"/>
  <c r="F103" i="67" l="1"/>
  <c r="F104" i="67" s="1"/>
  <c r="F112" i="67" s="1"/>
  <c r="F113" i="67" s="1"/>
  <c r="C19" i="87" s="1"/>
  <c r="F26" i="87"/>
  <c r="G26" i="87" s="1"/>
  <c r="H26" i="87" s="1"/>
  <c r="E93" i="67"/>
  <c r="E94" i="67" s="1"/>
  <c r="E95" i="67" s="1"/>
  <c r="E96" i="67" s="1"/>
  <c r="E98" i="67" l="1"/>
  <c r="E99" i="67"/>
  <c r="E102" i="67"/>
  <c r="E103" i="67" l="1"/>
  <c r="E104" i="67" s="1"/>
  <c r="E112" i="67" s="1"/>
  <c r="E113" i="67" s="1"/>
  <c r="C33" i="87" l="1"/>
  <c r="F33" i="87" s="1"/>
  <c r="G33" i="87" s="1"/>
  <c r="H33" i="87" s="1"/>
  <c r="F19" i="87"/>
  <c r="G19" i="87" s="1"/>
  <c r="H19" i="87" s="1"/>
  <c r="C102" i="11"/>
  <c r="C94" i="11" s="1"/>
  <c r="C28" i="11"/>
  <c r="D28" i="11" s="1"/>
  <c r="D30" i="11" s="1"/>
  <c r="C41" i="11"/>
  <c r="C80" i="11" s="1"/>
  <c r="D50" i="11" l="1"/>
  <c r="D33" i="11"/>
  <c r="D38" i="11"/>
  <c r="D37" i="11"/>
  <c r="D34" i="11"/>
  <c r="D39" i="11"/>
  <c r="D36" i="11"/>
  <c r="D40" i="11"/>
  <c r="D35" i="11"/>
  <c r="G28" i="11"/>
  <c r="G30" i="11" s="1"/>
  <c r="G40" i="11" s="1"/>
  <c r="F28" i="11"/>
  <c r="F30" i="11" s="1"/>
  <c r="F33" i="11" s="1"/>
  <c r="E28" i="11"/>
  <c r="E30" i="11" s="1"/>
  <c r="C30" i="11"/>
  <c r="G50" i="11" l="1"/>
  <c r="G38" i="11"/>
  <c r="G33" i="11"/>
  <c r="D41" i="11"/>
  <c r="D51" i="11" s="1"/>
  <c r="D53" i="11" s="1"/>
  <c r="G34" i="11"/>
  <c r="G35" i="11"/>
  <c r="G36" i="11"/>
  <c r="G37" i="11"/>
  <c r="G39" i="11"/>
  <c r="F50" i="11"/>
  <c r="F40" i="11"/>
  <c r="F39" i="11"/>
  <c r="F38" i="11"/>
  <c r="F37" i="11"/>
  <c r="F35" i="11"/>
  <c r="F36" i="11"/>
  <c r="F34" i="11"/>
  <c r="E33" i="11"/>
  <c r="E34" i="11"/>
  <c r="E35" i="11"/>
  <c r="E36" i="11"/>
  <c r="E37" i="11"/>
  <c r="E38" i="11"/>
  <c r="E39" i="11"/>
  <c r="E40" i="11"/>
  <c r="E50" i="11"/>
  <c r="D13" i="2"/>
  <c r="D12" i="2"/>
  <c r="D11" i="2"/>
  <c r="D10" i="2"/>
  <c r="D9" i="2"/>
  <c r="D8" i="2"/>
  <c r="F41" i="11" l="1"/>
  <c r="F51" i="11" s="1"/>
  <c r="D106" i="11"/>
  <c r="D79" i="11"/>
  <c r="D69" i="11"/>
  <c r="D67" i="11"/>
  <c r="D66" i="11"/>
  <c r="D65" i="11"/>
  <c r="D68" i="11"/>
  <c r="D64" i="11"/>
  <c r="G41" i="11"/>
  <c r="G51" i="11" s="1"/>
  <c r="G53" i="11" s="1"/>
  <c r="G64" i="11" s="1"/>
  <c r="F53" i="11"/>
  <c r="E41" i="11"/>
  <c r="E51" i="11" s="1"/>
  <c r="E53" i="11" s="1"/>
  <c r="D70" i="11" l="1"/>
  <c r="D78" i="11" s="1"/>
  <c r="D80" i="11" s="1"/>
  <c r="D81" i="11" s="1"/>
  <c r="D108" i="11" s="1"/>
  <c r="D110" i="11" s="1"/>
  <c r="G65" i="11"/>
  <c r="G66" i="11"/>
  <c r="G106" i="11"/>
  <c r="G69" i="11"/>
  <c r="G67" i="11"/>
  <c r="G68" i="11"/>
  <c r="G79" i="11"/>
  <c r="E64" i="11"/>
  <c r="E68" i="11"/>
  <c r="F106" i="11"/>
  <c r="F64" i="11"/>
  <c r="F79" i="11"/>
  <c r="F69" i="11"/>
  <c r="F68" i="11"/>
  <c r="F67" i="11"/>
  <c r="F66" i="11"/>
  <c r="F65" i="11"/>
  <c r="E65" i="11"/>
  <c r="E66" i="11"/>
  <c r="E67" i="11"/>
  <c r="E69" i="11"/>
  <c r="E79" i="11"/>
  <c r="E106" i="11"/>
  <c r="G70" i="11" l="1"/>
  <c r="G78" i="11" s="1"/>
  <c r="G80" i="11" s="1"/>
  <c r="G81" i="11" s="1"/>
  <c r="G89" i="11" s="1"/>
  <c r="G92" i="11" s="1"/>
  <c r="G93" i="11" s="1"/>
  <c r="G94" i="11" s="1"/>
  <c r="G95" i="11" s="1"/>
  <c r="D89" i="11"/>
  <c r="D92" i="11" s="1"/>
  <c r="D93" i="11" s="1"/>
  <c r="D94" i="11" s="1"/>
  <c r="D95" i="11" s="1"/>
  <c r="D101" i="11" s="1"/>
  <c r="F70" i="11"/>
  <c r="F78" i="11" s="1"/>
  <c r="F80" i="11" s="1"/>
  <c r="F81" i="11" s="1"/>
  <c r="E70" i="11"/>
  <c r="G108" i="11" l="1"/>
  <c r="G110" i="11" s="1"/>
  <c r="D97" i="11"/>
  <c r="D98" i="11"/>
  <c r="F108" i="11"/>
  <c r="F110" i="11" s="1"/>
  <c r="F89" i="11"/>
  <c r="E78" i="11"/>
  <c r="E80" i="11" s="1"/>
  <c r="E81" i="11" s="1"/>
  <c r="E89" i="11" s="1"/>
  <c r="G101" i="11"/>
  <c r="G98" i="11"/>
  <c r="G97" i="11"/>
  <c r="E108" i="11" l="1"/>
  <c r="E110" i="11" s="1"/>
  <c r="D102" i="11"/>
  <c r="D103" i="11" s="1"/>
  <c r="D111" i="11" s="1"/>
  <c r="D112" i="11" s="1"/>
  <c r="C13" i="87" s="1"/>
  <c r="G102" i="11"/>
  <c r="G103" i="11" s="1"/>
  <c r="G111" i="11" s="1"/>
  <c r="G112" i="11" s="1"/>
  <c r="C25" i="87" s="1"/>
  <c r="F92" i="11"/>
  <c r="F93" i="11" s="1"/>
  <c r="F94" i="11" s="1"/>
  <c r="F95" i="11" s="1"/>
  <c r="F34" i="87"/>
  <c r="G34" i="87" s="1"/>
  <c r="H34" i="87" s="1"/>
  <c r="E92" i="11"/>
  <c r="E93" i="11" s="1"/>
  <c r="E94" i="11" s="1"/>
  <c r="E95" i="11" s="1"/>
  <c r="F3" i="87" l="1"/>
  <c r="G3" i="87" s="1"/>
  <c r="H3" i="87" s="1"/>
  <c r="F13" i="87"/>
  <c r="G13" i="87" s="1"/>
  <c r="H13" i="87" s="1"/>
  <c r="F101" i="11"/>
  <c r="F98" i="11"/>
  <c r="F97" i="11"/>
  <c r="E97" i="11"/>
  <c r="E98" i="11"/>
  <c r="E101" i="11"/>
  <c r="F102" i="11" l="1"/>
  <c r="F103" i="11" s="1"/>
  <c r="F111" i="11" s="1"/>
  <c r="F112" i="11" s="1"/>
  <c r="C18" i="87" s="1"/>
  <c r="E102" i="11"/>
  <c r="E103" i="11" s="1"/>
  <c r="E111" i="11" s="1"/>
  <c r="E112" i="11" s="1"/>
  <c r="C32" i="87" s="1"/>
  <c r="F6" i="87" l="1"/>
  <c r="G6" i="87" s="1"/>
  <c r="H6" i="87" s="1"/>
  <c r="F32" i="87"/>
  <c r="G32" i="87" s="1"/>
  <c r="H32" i="87" s="1"/>
  <c r="F25" i="87"/>
  <c r="G25" i="87" s="1"/>
  <c r="H25" i="87" s="1"/>
  <c r="F4" i="87"/>
  <c r="F18" i="87"/>
  <c r="G18" i="87" s="1"/>
  <c r="H18" i="87" s="1"/>
  <c r="E78" i="85"/>
  <c r="E80" i="85" s="1"/>
  <c r="E81" i="85" s="1"/>
  <c r="E89" i="85" l="1"/>
  <c r="E92" i="85" s="1"/>
  <c r="E108" i="85"/>
  <c r="E110" i="85" s="1"/>
  <c r="E93" i="85" l="1"/>
  <c r="E94" i="85" l="1"/>
  <c r="E95" i="85" s="1"/>
  <c r="E97" i="85" l="1"/>
  <c r="E98" i="85"/>
  <c r="E101" i="85"/>
  <c r="E102" i="85" l="1"/>
  <c r="E103" i="85" l="1"/>
  <c r="E111" i="85" s="1"/>
  <c r="E112" i="85" s="1"/>
  <c r="C29" i="87" s="1"/>
  <c r="F29" i="87" l="1"/>
  <c r="G29" i="87" s="1"/>
  <c r="H29" i="87" s="1"/>
  <c r="F5" i="87"/>
  <c r="G5" i="87" s="1"/>
  <c r="H5" i="87" s="1"/>
  <c r="F22" i="87"/>
  <c r="G22" i="87" s="1"/>
  <c r="H22" i="87" s="1"/>
  <c r="H36" i="87" s="1"/>
  <c r="G4" i="87"/>
  <c r="H4" i="87" s="1"/>
  <c r="H7" i="87" l="1"/>
</calcChain>
</file>

<file path=xl/sharedStrings.xml><?xml version="1.0" encoding="utf-8"?>
<sst xmlns="http://schemas.openxmlformats.org/spreadsheetml/2006/main" count="1916" uniqueCount="308">
  <si>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</si>
  <si>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</si>
  <si>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</si>
  <si>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</si>
  <si>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</si>
  <si>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</si>
  <si>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</si>
  <si>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</si>
  <si>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</si>
  <si>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</si>
  <si>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</si>
  <si>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</si>
  <si>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</si>
  <si>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</si>
  <si>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</si>
  <si>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</si>
  <si>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</si>
  <si>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</si>
  <si>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</si>
  <si>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</si>
  <si>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</si>
  <si>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</si>
  <si>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</si>
  <si>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TOTAL DE BENEFÍCIOS MENSAIS E DIÁRIOS</t>
  </si>
  <si>
    <t>Insumos Diversos</t>
  </si>
  <si>
    <t>Encargos previdenciários e FGTS</t>
  </si>
  <si>
    <t>H</t>
  </si>
  <si>
    <t>TOTAL</t>
  </si>
  <si>
    <t>13 º Salário</t>
  </si>
  <si>
    <t>Subtotal</t>
  </si>
  <si>
    <t>Submódulo 4.3 – Afastamento Maternidade</t>
  </si>
  <si>
    <t>Afastamento Maternidade: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</si>
  <si>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</si>
  <si>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</si>
  <si>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</si>
  <si>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</si>
  <si>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Composição do Custo de Reposição do Profissional Ausente</t>
  </si>
  <si>
    <t>(M-T)      CUSTO TOTAL DA PLANILHA PARA EFEITO DE CÁLCULO DO MÓDULO 5 (M1+M2+M3+M4)</t>
  </si>
  <si>
    <t>Custos Indiretos, Tributos e Lucro</t>
  </si>
  <si>
    <t>Custos Indiretos</t>
  </si>
  <si>
    <t>Lucro (MT + M5.A)</t>
  </si>
  <si>
    <t>Tributos</t>
  </si>
  <si>
    <t>C1. Tributos Federais</t>
  </si>
  <si>
    <t>C.2 Tributos Estaduais (especificar)</t>
  </si>
  <si>
    <t xml:space="preserve">C.3 Tributos Municipais 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</si>
  <si>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</si>
  <si>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</si>
  <si>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</si>
  <si>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</si>
  <si>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</si>
  <si>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</si>
  <si>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</si>
  <si>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</si>
  <si>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</si>
  <si>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</si>
  <si>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</si>
  <si>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</si>
  <si>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</si>
  <si>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</si>
  <si>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</si>
  <si>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</si>
  <si>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</si>
  <si>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</si>
  <si>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</si>
  <si>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</si>
  <si>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</si>
  <si>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</si>
  <si>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</si>
  <si>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</si>
  <si>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</si>
  <si>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</si>
  <si>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</si>
  <si>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</si>
  <si>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</si>
  <si>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</si>
  <si>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</si>
  <si>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</si>
  <si>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</si>
  <si>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</si>
  <si>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</si>
  <si>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</si>
  <si>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</si>
  <si>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</si>
  <si>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</si>
  <si>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</si>
  <si>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</si>
  <si>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</si>
  <si>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</si>
  <si>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</si>
  <si>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</si>
  <si>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</si>
  <si>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</si>
  <si>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</si>
  <si>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</si>
  <si>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</si>
  <si>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</si>
  <si>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</si>
  <si>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</si>
  <si>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</si>
  <si>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</si>
  <si>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</si>
  <si>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</si>
  <si>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</si>
  <si>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</si>
  <si>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</si>
  <si>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</si>
  <si>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</si>
  <si>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</si>
  <si>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</si>
  <si>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</si>
  <si>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</si>
  <si>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</si>
  <si>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</si>
  <si>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</si>
  <si>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</si>
  <si>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</si>
  <si>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</si>
  <si>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</si>
  <si>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</si>
  <si>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</si>
  <si>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</si>
  <si>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</si>
  <si>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</si>
  <si>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</si>
  <si>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</si>
  <si>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</si>
  <si>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</si>
  <si>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</si>
  <si>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</si>
  <si>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</si>
  <si>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 xml:space="preserve">C1-A  (PIS 0,65)   </t>
  </si>
  <si>
    <t>C1. B  (COFINS 3,0)</t>
  </si>
  <si>
    <t>PLANILHA DE CUSTOS E FORMAÇÃO DE PREÇOS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</si>
  <si>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</si>
  <si>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</si>
  <si>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</si>
  <si>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</si>
  <si>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</si>
  <si>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</si>
  <si>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</si>
  <si>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</si>
  <si>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2.1</t>
  </si>
  <si>
    <t xml:space="preserve">C3-A (ISS 5,0) </t>
  </si>
  <si>
    <r>
      <t>N</t>
    </r>
    <r>
      <rPr>
        <strike/>
        <sz val="12"/>
        <rFont val="Calibri"/>
        <family val="2"/>
        <scheme val="minor"/>
      </rPr>
      <t>º</t>
    </r>
    <r>
      <rPr>
        <sz val="12"/>
        <rFont val="Calibri"/>
        <family val="2"/>
        <scheme val="minor"/>
      </rPr>
      <t xml:space="preserve"> de meses de execução contratual</t>
    </r>
  </si>
  <si>
    <t>Transporte</t>
  </si>
  <si>
    <t>13º Salário, Férias e Adicional de Férias</t>
  </si>
  <si>
    <t>GPS, FGTS e outras contribuições</t>
  </si>
  <si>
    <t>Beneficios diários e mensais</t>
  </si>
  <si>
    <t>Férias e Adicional de Férias</t>
  </si>
  <si>
    <t>Multa do FGTS do aviso prévio indenizado e trabalhado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</si>
  <si>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</si>
  <si>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</si>
  <si>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</si>
  <si>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</si>
  <si>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</si>
  <si>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</si>
  <si>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</si>
  <si>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</si>
  <si>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</si>
  <si>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</si>
  <si>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Subtotal (A + B +C+ D+E)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</si>
  <si>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</si>
  <si>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</si>
  <si>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</si>
  <si>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</si>
  <si>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</si>
  <si>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Ordem</t>
  </si>
  <si>
    <t>Unidade</t>
  </si>
  <si>
    <t>Quantidade</t>
  </si>
  <si>
    <t>Valor Unitário</t>
  </si>
  <si>
    <t>EQUIPAMENTOS PERMANENTES</t>
  </si>
  <si>
    <t>Vida Útil (Meses)</t>
  </si>
  <si>
    <t>Valor Mensal</t>
  </si>
  <si>
    <t>Submódulo 2.3 – Beneficios Mensais</t>
  </si>
  <si>
    <t>Incidência do submódulo 2.2 sobre aviso prévio trabalhado (39,80% sobre o valor do Aviso Prévio Trabalhado)</t>
  </si>
  <si>
    <t>Tipo do Serviço</t>
  </si>
  <si>
    <t>Valor proposto por empregado</t>
  </si>
  <si>
    <t>Quantidade de empregados por posto</t>
  </si>
  <si>
    <t>Quantidade de postos</t>
  </si>
  <si>
    <t>Valor proposto por posto</t>
  </si>
  <si>
    <t>Valor total do Serviço Mensal</t>
  </si>
  <si>
    <t>Valor total do Serviço Anual</t>
  </si>
  <si>
    <t>(A)</t>
  </si>
  <si>
    <t>(B)</t>
  </si>
  <si>
    <t>( C )</t>
  </si>
  <si>
    <t>(F) = (D x E)</t>
  </si>
  <si>
    <t>Uniformes</t>
  </si>
  <si>
    <t>Equipamentos</t>
  </si>
  <si>
    <t>Ambulancia de Suporte Avançado tipo "B"</t>
  </si>
  <si>
    <t>Ambulância Tipo B</t>
  </si>
  <si>
    <t>Base de cálculo: De acordo com a instrução normativa nº 05/2017 anexo VII nota 3, a base de cálculo neste módulo deverá ser a soma: MÓDULO 1 + SUBMÓDULO 2.1.</t>
  </si>
  <si>
    <t>Auxílio alimentação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</si>
  <si>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</si>
  <si>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</si>
  <si>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</si>
  <si>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</si>
  <si>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</si>
  <si>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</si>
  <si>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Submódulo 4.1 - Ausências Legais</t>
  </si>
  <si>
    <t>4.1</t>
  </si>
  <si>
    <t>3.0</t>
  </si>
  <si>
    <t>Submódulo 4.2 - Intrajornada</t>
  </si>
  <si>
    <t>Intervalo para Repouso ou Alimentação</t>
  </si>
  <si>
    <t>QUADRO-RESUMO DO MÓDULO 4 - CUSTO DE REPOSIÇÃO DO PROFISSIONAL AUSENTE</t>
  </si>
  <si>
    <t>Adicional de Hora Noturna Reduzida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</si>
  <si>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</si>
  <si>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</si>
  <si>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r>
      <rPr>
        <b/>
        <sz val="12"/>
        <rFont val="Calibri"/>
        <family val="2"/>
        <scheme val="minor"/>
      </rPr>
      <t>INSS</t>
    </r>
    <r>
      <rPr>
        <sz val="12"/>
        <rFont val="Calibri"/>
        <family val="2"/>
        <scheme val="minor"/>
      </rPr>
      <t xml:space="preserve"> (20%)</t>
    </r>
  </si>
  <si>
    <r>
      <rPr>
        <b/>
        <sz val="12"/>
        <rFont val="Calibri"/>
        <family val="2"/>
        <scheme val="minor"/>
      </rPr>
      <t>SESI OU SESC</t>
    </r>
    <r>
      <rPr>
        <sz val="12"/>
        <rFont val="Calibri"/>
        <family val="2"/>
        <scheme val="minor"/>
      </rPr>
      <t xml:space="preserve"> (1,5%)</t>
    </r>
  </si>
  <si>
    <r>
      <rPr>
        <b/>
        <sz val="12"/>
        <rFont val="Calibri"/>
        <family val="2"/>
        <scheme val="minor"/>
      </rPr>
      <t>SENAI OU SENAC</t>
    </r>
    <r>
      <rPr>
        <sz val="12"/>
        <rFont val="Calibri"/>
        <family val="2"/>
        <scheme val="minor"/>
      </rPr>
      <t xml:space="preserve"> (1,0%)</t>
    </r>
  </si>
  <si>
    <r>
      <rPr>
        <b/>
        <sz val="12"/>
        <rFont val="Calibri"/>
        <family val="2"/>
        <scheme val="minor"/>
      </rPr>
      <t xml:space="preserve">INCRA </t>
    </r>
    <r>
      <rPr>
        <sz val="12"/>
        <rFont val="Calibri"/>
        <family val="2"/>
        <scheme val="minor"/>
      </rPr>
      <t>(0,20% ou  2,7%) - IN nº971, MPS/SRP/2009, Anexo I e II ver código da Tabela</t>
    </r>
  </si>
  <si>
    <r>
      <rPr>
        <b/>
        <sz val="12"/>
        <rFont val="Calibri"/>
        <family val="2"/>
        <scheme val="minor"/>
      </rPr>
      <t>SALÁRIO EDUCAÇÃO</t>
    </r>
    <r>
      <rPr>
        <sz val="12"/>
        <rFont val="Calibri"/>
        <family val="2"/>
        <scheme val="minor"/>
      </rPr>
      <t xml:space="preserve"> (2,5%)</t>
    </r>
  </si>
  <si>
    <t xml:space="preserve">FGTS (8,0%) </t>
  </si>
  <si>
    <r>
      <rPr>
        <b/>
        <sz val="12"/>
        <rFont val="Calibri"/>
        <family val="2"/>
        <scheme val="minor"/>
      </rPr>
      <t>RAT X SAT (Conforme GFIP)</t>
    </r>
    <r>
      <rPr>
        <sz val="12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</si>
  <si>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t>SEBRAE</t>
  </si>
  <si>
    <t>2.2</t>
  </si>
  <si>
    <t>2.3</t>
  </si>
  <si>
    <t xml:space="preserve">BENEFÍCIOS MENSAIS E DIÁRIOS </t>
  </si>
  <si>
    <t xml:space="preserve">Auxílio alimentação </t>
  </si>
  <si>
    <t>Multa sobre FGTS e Contribuição Social sobre o Aviso Prévio Indenizado e sobre o Aviso Prévio Trabalhado. (Alterado Conf. Lei nº 13.932/2019)</t>
  </si>
  <si>
    <t>Módulo 4 – Encargos sociais e trabalhistas</t>
  </si>
  <si>
    <t>4.2</t>
  </si>
  <si>
    <t>Uniformes e EPIs</t>
  </si>
  <si>
    <t>Materiais</t>
  </si>
  <si>
    <t>Quadro-resumo do módulo 2-ENCARGOS E BENEFÍCIOS ANUAIS, MENSAIS E DIÁRIOS</t>
  </si>
  <si>
    <t>(M-T)      CUSTO TOTAL DA PLANILHA PARA EFEITO DE CÁLCULO DO MÓDULO 5 (M1+M2+M3+M4+M5)</t>
  </si>
  <si>
    <t>Valor Total Anual</t>
  </si>
  <si>
    <t>(G) = (D x 12)</t>
  </si>
  <si>
    <t>(D)</t>
  </si>
  <si>
    <t>(E) = (B x C)</t>
  </si>
  <si>
    <t>UNIFORMES E EPI (POR FUNCIONÁRIO)</t>
  </si>
  <si>
    <t>TOTAL MENSAL POR FUNCIONÁRIO</t>
  </si>
  <si>
    <t>Enfermeiro - Diurno</t>
  </si>
  <si>
    <t>Médico - Diurno</t>
  </si>
  <si>
    <t xml:space="preserve">INFORMAÇÃO: </t>
  </si>
  <si>
    <t>Técnico de Enfermagem - Noturno</t>
  </si>
  <si>
    <t>Técnico de Enfermagem - Diurno</t>
  </si>
  <si>
    <t>Ambulância Tipo D</t>
  </si>
  <si>
    <t>Enfermeiro - Noturno</t>
  </si>
  <si>
    <t>Médico - Noturno</t>
  </si>
  <si>
    <t>Ambulancia de Suporte Avançado tipo "D"</t>
  </si>
  <si>
    <t>TOTAL MENSAL POR  FUNCIONÁRIO HRC - AMBULANCIA TIPO "B"</t>
  </si>
  <si>
    <t>TOTAL MENSAL POR  FUNCIONÁRIO HRC - AMBULANCIA TIPO "D"</t>
  </si>
  <si>
    <t>40% * 1.412,00</t>
  </si>
  <si>
    <t xml:space="preserve"> Custo Fixo do Veículo</t>
  </si>
  <si>
    <t>Licenciamento;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 Obrigatório (DPVAT);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do Veículo.</t>
  </si>
  <si>
    <t xml:space="preserve"> Custo Variável do Veículo</t>
  </si>
  <si>
    <t>Manutenção preventiva e corretiva (peças e serviços de oficina);
Pneus e câmaras;
Lubrificantes (óleo de câmbio/diferencial);
Lubrificantes (óleo de cárter + filtro); 
Borracharia;
Lavagem do Veículo;
Aferições e Manut. C e P dos Equipamentos da ambulância;  
Sistema de rastreamento (GPS);
Ar-Condicionado.</t>
  </si>
  <si>
    <t>Ambulância Tipo "D"</t>
  </si>
  <si>
    <t>Ambulância Tipo "B"</t>
  </si>
  <si>
    <t>INFORMAÇÃO:</t>
  </si>
  <si>
    <t xml:space="preserve"> MATERIAIS PERMANENTES</t>
  </si>
  <si>
    <t>Ambulância de Suporte Básico Tipo B</t>
  </si>
  <si>
    <t>Definição dos Materiais e Equipamentos das Ambulâncias:</t>
  </si>
  <si>
    <t>Ambulância de Suporte Avançado Tipo D (UTI Móvel)</t>
  </si>
  <si>
    <t>Motorista - Diurno</t>
  </si>
  <si>
    <t>VALOR TOTAL (R$) - LOTE V:</t>
  </si>
  <si>
    <t>LOTE V - HOSPITAL DE URGÊNCIA E EMERGÊNCIA REGIONAL DE CACOAL-HEURO E HOSPITAL REGIONAL DE CACOAL-HRC</t>
  </si>
  <si>
    <t>Prestação de Serviço de Transporte Inter-Hospitalar de Pacientes, com disponibilização de Veículo/Ambulância de Suporte Avançado TIPO ”D” (UTI Móvel) e Suporte Básico TIPO "B", com mão de obra especializada</t>
  </si>
  <si>
    <t>Prestação de Serviço de Transporte Inter-Hospitalar de Pacientes, com disponibilização de Veículo/Ambulância de Suporte Avançado TIPO ”D” (UTI Móvel) e Suporte Básico TIPO "B"</t>
  </si>
  <si>
    <t>Motorista - Noturno</t>
  </si>
  <si>
    <t>LEI Nº 14.434/2022</t>
  </si>
  <si>
    <t xml:space="preserve">Médico - Diurno </t>
  </si>
  <si>
    <t xml:space="preserve">HRC  - TIPO "B" </t>
  </si>
  <si>
    <t xml:space="preserve"> HEURO  - TIPO "B" </t>
  </si>
  <si>
    <t xml:space="preserve">HRC  - TIPO "D" </t>
  </si>
  <si>
    <t xml:space="preserve"> HEURO  - TIPO "D" </t>
  </si>
  <si>
    <t xml:space="preserve">TOTAL MENSAL POR  FUNCIONÁRIO HEURO - AMBULANCIA TIPO "D" </t>
  </si>
  <si>
    <t>TOTAL MENSAL POR  FUNCIONÁRIO HEURO - AMBULANCIA TIPO "B"</t>
  </si>
  <si>
    <t xml:space="preserve">Periodicidade </t>
  </si>
  <si>
    <t xml:space="preserve"> Calça</t>
  </si>
  <si>
    <t>6 meses</t>
  </si>
  <si>
    <t>Camisa</t>
  </si>
  <si>
    <t>Crachá</t>
  </si>
  <si>
    <t>Par de calçados</t>
  </si>
  <si>
    <t>Deverão conter necessariamente:
Sinalizador óptico e acústico; equipamento de rádio-comunicação fixo e móvel; maca articulada e com rodas; suporte para soro; instalação de rede de oxigênio com cilindro, válvula, manômetro em local de fácil visualização e régua com dupla saída; oxigênio com régua tripla (a- alimentação do respirador; b- fluxômetro e umidificador de oxigênio e c - aspirador tipo Venturi); manômetro e fluxômetro com máscara e chicote para oxigenação; cilindro de oxigênio portátil com válvula; maleta de urgência contendo: estetoscópio adulto e infantil, ressuscitador manual adulto/infantil, cânulas orofaríngeas de tamanhos variados, luvas descartáveis, tesoura reta com ponta romba, esparadrapo, esfigmomanômetro adulto/infantil, ataduras de 15 cm, compressas cirúrgicas estéreis, pacotes de gaze estéril, protetores para queimados ou eviscerados, cateteres para oxigenação e aspiração de vários tamanhos; maleta de parto contendo: luvas cirúrgicas, clamps umbilicais, estilete estéril para corte do cordão, saco plástico para placenta, cobertor, compressas cirúrgicas e gazes estéreis, braceletes de identificação; suporte para soro; prancha curta e longa para imobilização de coluna; talas para imobilização de membros e conjunto de colares cervicais; colete imobilizador dorsal; frascos de soro fisiológico e ringer lactato; bandagens triangulares; cobertores; coletes refletivos para a tripulação; lanterna de mão; óculos, máscaras e aventais de proteção e maletas com medicações a serem definidas em protocolos, pelos serviços. As ambulâncias de suporte básico que realizam também ações de salvamento deverão conter o material mínimo para salvamento terrestre, aquático e em alturas, maleta de ferramentas e extintor de pó químico seco de 0,8 Kg, fitas e cones sinalizadores para isolamento de áreas, devendo contar, ainda com compartimento isolado para a sua guarda, garantindo um salão de atendimento às vítimas de, no mínimo, 8 metros cúbicos. Todos os equipamentos devem possuir termos de aferição específicos.</t>
  </si>
  <si>
    <t>Deverão conter necessariamente:
Sinalizador óptico e acústico; equipamento de rádio-comunicação fixo e móvel; maca com rodas e articulada; dois suportes de soro; cadeira de rodas dobrável; instalação de rede portátil de oxigênio como descrito no item anterior (é obrigatório que a quantidade de oxigênio permita ventilação mecânica por no mínimo duas horas); respirador mecânico de transporte; oxímetro não-invasivo portátil; monitor cardioversor com bateria e instalação elétrica disponível (em caso de frota deverá haver disponibilidade de um monitor cardioversor com marca-passo externo não-invasivo); bomba de infusão com bateria e equipo; maleta de vias aéreas contendo: máscaras laríngeas e cânulas endotraqueais de vários tamanhos; cateteres de aspiração; adaptadores para cânulas; cateteres nasais; seringa de 20ml; ressuscitador manual adulto/infantil com reservatório; sondas para aspiração traqueal de vários tamanhos; luvas de procedimentos; máscara para ressuscitador adulto/infantil; lidocaína geléia e “spray”; cadarços para fixação de cânula; laringoscópio infantil/adulto com conjunto de lâminas; estetoscópio; esfigmomanômetro adulto/infantil; cânulas orofaríngeas adulto/infantil; fios-guia para intubação; pinça de Magyll; bisturi descartável; cânulas para traqueostomia; material para cricotiroidostomia; conjunto de drenagem torácica; maleta de acesso venoso contendo: tala para fixação de braço; luvas estéreis; recipiente de algodão com anti-séptico; pacotes de gaze estéril; esparadrapo; material para punção de vários tamanhos incluindo agulhas metálicas, plásticas e agulhas especiais para punção óssea; garrote; equipos de macro e microgotas; cateteres específicos para dissecção de veias, tamanho adulto/infantil; tesoura, pinça de Kocher; cortadores de soro; lâminas de bisturi; seringas de vários tamanhos; torneiras de 3 vias; equipo de infusão de 3 vias; frascos de soro fisiológico, ringer lactato e soro glicosado; caixa completa de pequena cirurgia; maleta de parto como descrito nos itens anteriores; sondas vesicais; coletores de urina; protetores para eviscerados ou queimados; espátulas de madeira; sondas nasogástricas ; eletrodos descartáveis; equipos para drogas fotossensíveis; equipo para bombas de infusão; circuito de respirador estéril de reserva; equipamentos de proteção à equipe de atendimento: óculos, máscaras e aventais; cobertor ou filme metálico para conservação do calor do corpo; campo cirúrgico fenestrado; almotolias com anti-séptico; conjunto de colares cervicais; prancha longa para imobilização da coluna. Para o atendimento a neonatos deverá haver pelo menos uma Incubadora de transporte de recém-nascido com bateria e ligação à tomada do veículo (12 volts). A incubadora deve estar apoiada sobre carros com rodas devidamente fixadas quando dentro da ambulância e conter respirador e equipamentos adequados para recém natos. Todos os equipamentos devem possuir termos de aferição específicos.</t>
  </si>
  <si>
    <t>RO000094/2024</t>
  </si>
  <si>
    <r>
      <rPr>
        <b/>
        <sz val="11"/>
        <color theme="1"/>
        <rFont val="Calibri"/>
        <family val="2"/>
        <scheme val="minor"/>
      </rPr>
      <t>O Termo de Referência traz o seguinte: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13.2.12.</t>
    </r>
    <r>
      <rPr>
        <sz val="11"/>
        <color theme="1"/>
        <rFont val="Calibri"/>
        <family val="2"/>
        <scheme val="minor"/>
      </rPr>
      <t xml:space="preserve"> Exigir de seus empregados que se mantenham uniformizados e identificados por crachás com fotografias recentes, com nº de registro e nome da contratada.      
                                                                                                                                                                                                                                                                                                                                                                                                                                                                                                                                             Observa-se que, apesar da informação fornecida anteriormente, não há descrição ou quantidade especificada para os uniformes. Diante dessa lacuna e com o intuito de agilizar o processo, o setor responsável pela elaboração de planilhas optou por utilizar a Cláusula Trigésima da Convenção Coletiva de Trabalho RO000094/2024 do Sindicato das Empresas de Asseio, Conservação, Limpeza Pública e Locação de Mão-de-Obra do Estado de Rondônia. Conforme estabelecido nesta cláusula, as empresas devem fornecer uniformes completos aos seus trabalhadores. Entende-se entendendo-se como completo, no mínimo </t>
    </r>
    <r>
      <rPr>
        <b/>
        <sz val="11"/>
        <color theme="1"/>
        <rFont val="Calibri"/>
        <family val="2"/>
        <scheme val="minor"/>
      </rPr>
      <t>02 calças, 02 Camisas, 01 crachá e 01 Par de calçados</t>
    </r>
    <r>
      <rPr>
        <sz val="11"/>
        <color theme="1"/>
        <rFont val="Calibri"/>
        <family val="2"/>
        <scheme val="minor"/>
      </rPr>
      <t>, devendo ser substituído a cada seis meses. Serão fornecidos os respectivos equipamentos de proteção individual e coletivos aos quais fazem jus, de acordo com as normas regulamentadoras. Para trabalhadores que fiquem expostos à chuva, ao sol, as empresas deverão fornecer capas impermeáveis, bloqueador solar acima de 30 (trinta) FPS e demais acessórios que se fizerem necessários.</t>
    </r>
  </si>
  <si>
    <t>ITEM</t>
  </si>
  <si>
    <t>DEFINIÇÃO/CLASSIFICAÇÃO DOS VEÍCULO/AMBULÂNCIA</t>
  </si>
  <si>
    <t>CARGA
HORÁRIA</t>
  </si>
  <si>
    <t>UNIDADE</t>
  </si>
  <si>
    <t>QUANTIDADE</t>
  </si>
  <si>
    <t xml:space="preserve">VALOR UNITÁRIO (R$) </t>
  </si>
  <si>
    <t>VALOR TOTAL MENSAL (R$)</t>
  </si>
  <si>
    <t>VALOR TOTAL ANUAL (R$)</t>
  </si>
  <si>
    <t>24 horas/dia
(7 dias por semana)</t>
  </si>
  <si>
    <t>SERVIÇO</t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</si>
  <si>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</t>
    </r>
    <r>
      <rPr>
        <b/>
        <sz val="11"/>
        <rFont val="Calibri"/>
        <family val="2"/>
        <scheme val="minor"/>
      </rPr>
      <t xml:space="preserve"> (HOSPITAL REGIONAL DE CACOAL - HRC)</t>
    </r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</si>
  <si>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DE URGÊNCIA E EMERGÊNCIA REGIONAL DE CACOAL - HEURO)</t>
    </r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</si>
  <si>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rgb="FF000000"/>
        <rFont val="Calibri"/>
        <family val="2"/>
        <scheme val="minor"/>
      </rPr>
      <t>(HOSPITAL REGIONAL DE CACOAL - HRC)</t>
    </r>
  </si>
  <si>
    <r>
      <t xml:space="preserve">Ambulância de Suporte Avançado </t>
    </r>
    <r>
      <rPr>
        <b/>
        <sz val="11"/>
        <color theme="1"/>
        <rFont val="Calibri"/>
        <family val="2"/>
        <scheme val="minor"/>
      </rPr>
      <t>TIPO "D”</t>
    </r>
    <r>
      <rPr>
        <sz val="11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theme="1"/>
        <rFont val="Calibri"/>
        <family val="2"/>
        <scheme val="minor"/>
      </rPr>
      <t>(HOSPITAL DE URGÊNCIA E EMERGÊNCIA REGIONAL DE CACOAL - HEURO)</t>
    </r>
  </si>
  <si>
    <t>O Termo de Referência aborda, em seu item 3.3, as Especificações Técnicas das Ambulâncias de acordo com a Portaria do Ministério da Saúde nº 2.048/GM de 5 de novembro de 2002. No entanto, o termo não fornece especificações quanto aos percentuais a serem aplicados a esses itens. Com o intuito de otimizar o processo, o setor responsável pela elaboração de planilhas de custos optou por adotar uma taxa de 1% sobre o valor total do veículo para esses materiais e equipamentos. Em caso de aplicação de um percentual superior ao estabelecido por este setor, solicito que seja devidamente justificado.</t>
  </si>
  <si>
    <r>
      <rPr>
        <b/>
        <sz val="11"/>
        <color theme="1"/>
        <rFont val="Calibri"/>
        <family val="2"/>
        <scheme val="minor"/>
      </rPr>
      <t>O Termo de Referência estabelece as seguintes diretrizes: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13.2.14.</t>
    </r>
    <r>
      <rPr>
        <sz val="11"/>
        <color theme="1"/>
        <rFont val="Calibri"/>
        <family val="2"/>
        <scheme val="minor"/>
      </rPr>
      <t xml:space="preserve"> O contratado deve arcar com todas as despesas relacionadas aos veículos de sua propriedade, incluindo manutenção preventiva e corretiva, limpeza, acidentes, pedágio, impostos, estacionamento, taxas, licenciamentos (como IPVA), seguro obrigatório, taxa de emplacamento, eventuais multas e penalidades, bem como quaisquer outras despesas que impactem direta ou indiretamente nos serviços contratados. A contratante fica isenta de qualquer responsabilidade jurídica ou financeira nessas situações.
</t>
    </r>
    <r>
      <rPr>
        <b/>
        <sz val="11"/>
        <color theme="1"/>
        <rFont val="Calibri"/>
        <family val="2"/>
        <scheme val="minor"/>
      </rPr>
      <t>13.2.21.</t>
    </r>
    <r>
      <rPr>
        <sz val="11"/>
        <color theme="1"/>
        <rFont val="Calibri"/>
        <family val="2"/>
        <scheme val="minor"/>
      </rPr>
      <t xml:space="preserve"> É responsabilidade do contratado realizar a manutenção preventiva e corretiva dos veículos, seguindo as recomendações do fabricante, incluindo serviços de funilaria, lubrificação, substituição de pneus e peças desgastadas.
Apesar dessas disposições, o termo não especifica os percentuais a serem aplicados para o custo fixo (que abrange licenciamento, seguro, etc.) e o custo variável (que inclui manutenção, pneus, câmaras, entre outros). Para agilizar o processo, o setor encarregado da elaboração das planilhas de custos optou por adotar uma taxa de 10% sobre o valor total do veículo para estimar o custo fixo e 5% para o custo variável. No entanto, caso a empresa opte por aplicar um percentual diferente, é solicitado que justifique tal escolha.</t>
    </r>
  </si>
  <si>
    <t>Motorista/Socorrista - Diurno</t>
  </si>
  <si>
    <t xml:space="preserve">Motorista/Socorrista - Noturno </t>
  </si>
  <si>
    <t>Informo que os dados utilizados para calcular a estimativa do "Salário Normativo da Categoria Profissional" foram extraídos do Processo 0036.347150/2020-29, especificamente da página 111 do Edital PE 763/2021 RETIFICADO (0033253925). O valor inicial de R$ 13.581,68 foi ajustado de forma progressiva, aplicando-se individualmente as alíquotas sobre o valor apurado no ano anterior, de acordo com os reajustes anuais do salário mínimo. Para o ano de 2022, foi aplicada uma alíquota de 10,18%, sobre o valor de 2021; para 2023, uma alíquota de 8,9%, sobre o valor de 2022; e, finalmente, para 2024, a alíquota de 6,97%, sobre o valor de 2023. Esse procedimento foi adotado devido à ausência de acordo, convenção coletiva ou sentença normativa específica para a categoria, conforme estipulado pela Instrução Normativa Nº 05/2017/SEGES, que determina que, na falta desses instrumentos, o valor pode ser baseado nos salários praticados no mercado ou apurados em publicações ou pesquisas setoriais.</t>
  </si>
  <si>
    <t xml:space="preserve">HEURO - TIPO "B" </t>
  </si>
  <si>
    <t xml:space="preserve">HRC - TIPO "B" </t>
  </si>
  <si>
    <t>HRC - TIPO "D"</t>
  </si>
  <si>
    <t>HEURO - TIPO "D"</t>
  </si>
  <si>
    <t xml:space="preserve">Quantidade Mensal </t>
  </si>
  <si>
    <t>Quantidade Anual</t>
  </si>
  <si>
    <t>Valor m3</t>
  </si>
  <si>
    <t>OXIGÊNIO GASOSO</t>
  </si>
  <si>
    <t>m3</t>
  </si>
  <si>
    <t>AR COMPRIMIDO MEDICINAL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</si>
</sst>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trike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30" fillId="0" borderId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3" fillId="0" borderId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4" fillId="0" borderId="0"/>
  </cellStyleXfs>
  <cellXfs count="574">
    <xf numFmtId="0" fontId="0" fillId="0" borderId="0" xfId="0"/>
    <xf numFmtId="0" fontId="6" fillId="2" borderId="12" xfId="0" applyFont="1" applyFill="1" applyBorder="1" applyAlignment="1">
      <alignment wrapText="1"/>
    </xf>
    <xf numFmtId="0" fontId="6" fillId="2" borderId="13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3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3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/>
    <xf numFmtId="0" fontId="9" fillId="2" borderId="14" xfId="0" applyFont="1" applyFill="1" applyBorder="1" applyAlignment="1">
      <alignment horizontal="center" wrapText="1"/>
    </xf>
    <xf numFmtId="0" fontId="0" fillId="0" borderId="13" xfId="0" applyBorder="1"/>
    <xf numFmtId="0" fontId="0" fillId="0" borderId="13" xfId="0" applyBorder="1" applyAlignment="1">
      <alignment horizontal="center"/>
    </xf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0" fillId="0" borderId="14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justify" vertical="center" wrapText="1"/>
    </xf>
    <xf numFmtId="0" fontId="19" fillId="0" borderId="17" xfId="0" applyFont="1" applyBorder="1" applyAlignment="1">
      <alignment horizontal="justify" vertical="center" wrapText="1"/>
    </xf>
    <xf numFmtId="0" fontId="19" fillId="0" borderId="10" xfId="0" applyFont="1" applyBorder="1" applyAlignment="1">
      <alignment horizontal="justify" vertical="center" wrapText="1"/>
    </xf>
    <xf numFmtId="0" fontId="19" fillId="0" borderId="9" xfId="0" applyFont="1" applyBorder="1" applyAlignment="1">
      <alignment horizontal="justify" vertical="center" wrapText="1"/>
    </xf>
    <xf numFmtId="0" fontId="19" fillId="0" borderId="18" xfId="0" applyFont="1" applyBorder="1" applyAlignment="1">
      <alignment horizontal="justify" vertical="center" wrapText="1"/>
    </xf>
    <xf numFmtId="0" fontId="19" fillId="0" borderId="19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2" borderId="22" xfId="0" applyFont="1" applyFill="1" applyBorder="1" applyAlignment="1">
      <alignment horizontal="center" vertical="center"/>
    </xf>
    <xf numFmtId="0" fontId="22" fillId="2" borderId="4" xfId="3" applyFont="1" applyFill="1" applyBorder="1" applyAlignment="1">
      <alignment horizontal="right" vertical="center" wrapText="1"/>
    </xf>
    <xf numFmtId="0" fontId="22" fillId="2" borderId="4" xfId="4" applyFont="1" applyFill="1" applyBorder="1" applyAlignment="1">
      <alignment horizontal="justify" vertical="center" wrapText="1"/>
    </xf>
    <xf numFmtId="0" fontId="22" fillId="2" borderId="4" xfId="0" applyFont="1" applyFill="1" applyBorder="1" applyAlignment="1">
      <alignment horizontal="justify" vertical="center"/>
    </xf>
    <xf numFmtId="0" fontId="23" fillId="2" borderId="22" xfId="5" applyFont="1" applyFill="1" applyBorder="1" applyAlignment="1">
      <alignment horizontal="center" vertical="center" wrapText="1"/>
    </xf>
    <xf numFmtId="0" fontId="22" fillId="2" borderId="22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vertical="center"/>
    </xf>
    <xf numFmtId="0" fontId="22" fillId="2" borderId="4" xfId="5" applyFont="1" applyFill="1" applyBorder="1" applyAlignment="1">
      <alignment vertical="center" wrapText="1"/>
    </xf>
    <xf numFmtId="0" fontId="22" fillId="2" borderId="22" xfId="5" applyFont="1" applyFill="1" applyBorder="1" applyAlignment="1">
      <alignment horizontal="center" vertical="center" wrapText="1"/>
    </xf>
    <xf numFmtId="164" fontId="23" fillId="2" borderId="4" xfId="2" applyNumberFormat="1" applyFont="1" applyFill="1" applyBorder="1" applyAlignment="1">
      <alignment horizontal="justify" vertical="center"/>
    </xf>
    <xf numFmtId="0" fontId="22" fillId="0" borderId="22" xfId="5" applyFont="1" applyBorder="1" applyAlignment="1">
      <alignment horizontal="center" vertical="center" wrapText="1"/>
    </xf>
    <xf numFmtId="0" fontId="22" fillId="0" borderId="4" xfId="5" applyFont="1" applyBorder="1" applyAlignment="1">
      <alignment vertical="center" wrapText="1"/>
    </xf>
    <xf numFmtId="0" fontId="23" fillId="0" borderId="22" xfId="5" applyFont="1" applyBorder="1" applyAlignment="1">
      <alignment horizontal="center" vertical="center" wrapText="1"/>
    </xf>
    <xf numFmtId="0" fontId="22" fillId="0" borderId="4" xfId="5" applyFont="1" applyBorder="1" applyAlignment="1">
      <alignment vertical="center"/>
    </xf>
    <xf numFmtId="0" fontId="22" fillId="0" borderId="4" xfId="0" applyFont="1" applyBorder="1" applyAlignment="1">
      <alignment vertical="center"/>
    </xf>
    <xf numFmtId="0" fontId="22" fillId="0" borderId="4" xfId="5" applyFont="1" applyBorder="1" applyAlignment="1">
      <alignment horizontal="left" vertical="center" wrapText="1"/>
    </xf>
    <xf numFmtId="0" fontId="22" fillId="2" borderId="4" xfId="5" applyFont="1" applyFill="1" applyBorder="1" applyAlignment="1">
      <alignment vertical="center"/>
    </xf>
    <xf numFmtId="0" fontId="23" fillId="2" borderId="4" xfId="5" applyFont="1" applyFill="1" applyBorder="1" applyAlignment="1">
      <alignment horizontal="center" vertical="center" wrapText="1"/>
    </xf>
    <xf numFmtId="165" fontId="23" fillId="2" borderId="4" xfId="0" applyNumberFormat="1" applyFont="1" applyFill="1" applyBorder="1" applyAlignment="1">
      <alignment horizontal="right" vertical="center"/>
    </xf>
    <xf numFmtId="10" fontId="22" fillId="0" borderId="4" xfId="2" applyNumberFormat="1" applyFont="1" applyFill="1" applyBorder="1" applyAlignment="1">
      <alignment horizontal="center" vertical="center"/>
    </xf>
    <xf numFmtId="10" fontId="23" fillId="5" borderId="4" xfId="2" applyNumberFormat="1" applyFont="1" applyFill="1" applyBorder="1" applyAlignment="1">
      <alignment horizontal="center" vertical="center"/>
    </xf>
    <xf numFmtId="165" fontId="23" fillId="2" borderId="4" xfId="5" applyNumberFormat="1" applyFont="1" applyFill="1" applyBorder="1" applyAlignment="1">
      <alignment horizontal="center" vertical="center" wrapText="1"/>
    </xf>
    <xf numFmtId="165" fontId="23" fillId="2" borderId="21" xfId="5" applyNumberFormat="1" applyFont="1" applyFill="1" applyBorder="1" applyAlignment="1">
      <alignment horizontal="center" vertical="center" wrapText="1"/>
    </xf>
    <xf numFmtId="165" fontId="22" fillId="2" borderId="21" xfId="0" applyNumberFormat="1" applyFont="1" applyFill="1" applyBorder="1" applyAlignment="1">
      <alignment horizontal="center" vertical="center"/>
    </xf>
    <xf numFmtId="165" fontId="22" fillId="2" borderId="21" xfId="0" quotePrefix="1" applyNumberFormat="1" applyFont="1" applyFill="1" applyBorder="1" applyAlignment="1">
      <alignment horizontal="center" vertical="center"/>
    </xf>
    <xf numFmtId="165" fontId="23" fillId="6" borderId="21" xfId="0" applyNumberFormat="1" applyFont="1" applyFill="1" applyBorder="1" applyAlignment="1">
      <alignment horizontal="center" vertical="center"/>
    </xf>
    <xf numFmtId="165" fontId="22" fillId="0" borderId="21" xfId="0" applyNumberFormat="1" applyFont="1" applyBorder="1" applyAlignment="1">
      <alignment horizontal="center" vertical="center"/>
    </xf>
    <xf numFmtId="165" fontId="23" fillId="5" borderId="21" xfId="0" applyNumberFormat="1" applyFont="1" applyFill="1" applyBorder="1" applyAlignment="1">
      <alignment horizontal="center" vertical="center"/>
    </xf>
    <xf numFmtId="165" fontId="22" fillId="0" borderId="21" xfId="0" quotePrefix="1" applyNumberFormat="1" applyFont="1" applyBorder="1" applyAlignment="1">
      <alignment horizontal="center" vertical="center"/>
    </xf>
    <xf numFmtId="165" fontId="23" fillId="2" borderId="4" xfId="0" applyNumberFormat="1" applyFont="1" applyFill="1" applyBorder="1" applyAlignment="1">
      <alignment horizontal="center" vertical="center"/>
    </xf>
    <xf numFmtId="165" fontId="23" fillId="6" borderId="4" xfId="0" applyNumberFormat="1" applyFont="1" applyFill="1" applyBorder="1" applyAlignment="1">
      <alignment horizontal="center" vertical="center"/>
    </xf>
    <xf numFmtId="165" fontId="22" fillId="0" borderId="4" xfId="2" applyNumberFormat="1" applyFont="1" applyFill="1" applyBorder="1" applyAlignment="1">
      <alignment horizontal="center" vertical="center"/>
    </xf>
    <xf numFmtId="0" fontId="22" fillId="0" borderId="4" xfId="5" applyFont="1" applyBorder="1" applyAlignment="1">
      <alignment horizontal="center" vertical="center" wrapText="1"/>
    </xf>
    <xf numFmtId="0" fontId="22" fillId="0" borderId="4" xfId="0" applyFont="1" applyBorder="1" applyAlignment="1">
      <alignment horizontal="left" vertical="center" wrapText="1"/>
    </xf>
    <xf numFmtId="165" fontId="23" fillId="0" borderId="4" xfId="5" applyNumberFormat="1" applyFont="1" applyBorder="1" applyAlignment="1">
      <alignment horizontal="center" vertical="center" wrapText="1"/>
    </xf>
    <xf numFmtId="165" fontId="23" fillId="4" borderId="4" xfId="5" applyNumberFormat="1" applyFont="1" applyFill="1" applyBorder="1" applyAlignment="1">
      <alignment horizontal="center" vertical="center" wrapText="1"/>
    </xf>
    <xf numFmtId="165" fontId="23" fillId="3" borderId="4" xfId="5" applyNumberFormat="1" applyFont="1" applyFill="1" applyBorder="1" applyAlignment="1">
      <alignment horizontal="center" vertical="center" wrapText="1"/>
    </xf>
    <xf numFmtId="0" fontId="23" fillId="4" borderId="22" xfId="5" applyFont="1" applyFill="1" applyBorder="1" applyAlignment="1">
      <alignment horizontal="center" vertical="center" wrapText="1"/>
    </xf>
    <xf numFmtId="10" fontId="23" fillId="2" borderId="4" xfId="2" applyNumberFormat="1" applyFont="1" applyFill="1" applyBorder="1" applyAlignment="1">
      <alignment vertical="center"/>
    </xf>
    <xf numFmtId="165" fontId="22" fillId="2" borderId="4" xfId="2" applyNumberFormat="1" applyFont="1" applyFill="1" applyBorder="1" applyAlignment="1">
      <alignment horizontal="center" vertical="center"/>
    </xf>
    <xf numFmtId="0" fontId="31" fillId="4" borderId="22" xfId="5" applyFont="1" applyFill="1" applyBorder="1" applyAlignment="1">
      <alignment horizontal="center"/>
    </xf>
    <xf numFmtId="165" fontId="22" fillId="2" borderId="4" xfId="0" applyNumberFormat="1" applyFont="1" applyFill="1" applyBorder="1" applyAlignment="1">
      <alignment horizontal="center" vertical="center"/>
    </xf>
    <xf numFmtId="164" fontId="25" fillId="2" borderId="4" xfId="2" applyNumberFormat="1" applyFont="1" applyFill="1" applyBorder="1" applyAlignment="1">
      <alignment horizontal="justify" vertical="center"/>
    </xf>
    <xf numFmtId="165" fontId="22" fillId="2" borderId="4" xfId="0" quotePrefix="1" applyNumberFormat="1" applyFont="1" applyFill="1" applyBorder="1" applyAlignment="1">
      <alignment horizontal="center" vertical="center"/>
    </xf>
    <xf numFmtId="165" fontId="22" fillId="0" borderId="4" xfId="0" applyNumberFormat="1" applyFont="1" applyBorder="1" applyAlignment="1">
      <alignment horizontal="center" vertical="center"/>
    </xf>
    <xf numFmtId="165" fontId="23" fillId="5" borderId="4" xfId="0" applyNumberFormat="1" applyFont="1" applyFill="1" applyBorder="1" applyAlignment="1">
      <alignment horizontal="center" vertical="center" wrapText="1"/>
    </xf>
    <xf numFmtId="165" fontId="23" fillId="5" borderId="4" xfId="0" applyNumberFormat="1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10" fontId="32" fillId="0" borderId="4" xfId="0" applyNumberFormat="1" applyFont="1" applyBorder="1" applyAlignment="1">
      <alignment horizontal="center" vertical="center"/>
    </xf>
    <xf numFmtId="165" fontId="23" fillId="5" borderId="4" xfId="2" applyNumberFormat="1" applyFont="1" applyFill="1" applyBorder="1" applyAlignment="1">
      <alignment horizontal="center" vertical="center"/>
    </xf>
    <xf numFmtId="164" fontId="23" fillId="0" borderId="4" xfId="2" applyNumberFormat="1" applyFont="1" applyFill="1" applyBorder="1" applyAlignment="1">
      <alignment horizontal="center" vertical="center"/>
    </xf>
    <xf numFmtId="165" fontId="22" fillId="0" borderId="4" xfId="0" quotePrefix="1" applyNumberFormat="1" applyFont="1" applyBorder="1" applyAlignment="1">
      <alignment horizontal="center" vertical="center"/>
    </xf>
    <xf numFmtId="165" fontId="23" fillId="5" borderId="4" xfId="5" applyNumberFormat="1" applyFont="1" applyFill="1" applyBorder="1" applyAlignment="1">
      <alignment horizontal="center" vertical="center" wrapText="1"/>
    </xf>
    <xf numFmtId="165" fontId="23" fillId="6" borderId="4" xfId="5" applyNumberFormat="1" applyFont="1" applyFill="1" applyBorder="1" applyAlignment="1">
      <alignment horizontal="center" vertical="center" wrapText="1"/>
    </xf>
    <xf numFmtId="165" fontId="22" fillId="0" borderId="4" xfId="5" applyNumberFormat="1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165" fontId="22" fillId="0" borderId="4" xfId="5" applyNumberFormat="1" applyFont="1" applyBorder="1" applyAlignment="1">
      <alignment horizontal="center" vertical="center"/>
    </xf>
    <xf numFmtId="0" fontId="23" fillId="4" borderId="21" xfId="5" applyFont="1" applyFill="1" applyBorder="1" applyAlignment="1">
      <alignment horizontal="center" vertical="center"/>
    </xf>
    <xf numFmtId="0" fontId="22" fillId="2" borderId="22" xfId="5" applyFont="1" applyFill="1" applyBorder="1" applyAlignment="1">
      <alignment horizontal="center" vertical="center"/>
    </xf>
    <xf numFmtId="10" fontId="23" fillId="5" borderId="4" xfId="0" applyNumberFormat="1" applyFont="1" applyFill="1" applyBorder="1" applyAlignment="1">
      <alignment horizontal="center" vertical="center" wrapText="1"/>
    </xf>
    <xf numFmtId="10" fontId="23" fillId="2" borderId="4" xfId="2" applyNumberFormat="1" applyFont="1" applyFill="1" applyBorder="1" applyAlignment="1">
      <alignment horizontal="center" vertical="center"/>
    </xf>
    <xf numFmtId="10" fontId="23" fillId="5" borderId="4" xfId="5" applyNumberFormat="1" applyFont="1" applyFill="1" applyBorder="1" applyAlignment="1">
      <alignment horizontal="center" vertical="center" wrapText="1"/>
    </xf>
    <xf numFmtId="0" fontId="22" fillId="0" borderId="4" xfId="5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3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vertical="center" wrapText="1"/>
    </xf>
    <xf numFmtId="0" fontId="23" fillId="0" borderId="4" xfId="0" applyFont="1" applyBorder="1" applyAlignment="1">
      <alignment vertical="center"/>
    </xf>
    <xf numFmtId="10" fontId="23" fillId="0" borderId="4" xfId="0" applyNumberFormat="1" applyFont="1" applyBorder="1" applyAlignment="1">
      <alignment horizontal="center" vertical="center"/>
    </xf>
    <xf numFmtId="165" fontId="23" fillId="0" borderId="4" xfId="0" applyNumberFormat="1" applyFont="1" applyBorder="1" applyAlignment="1">
      <alignment horizontal="center" vertical="center"/>
    </xf>
    <xf numFmtId="165" fontId="22" fillId="2" borderId="4" xfId="5" applyNumberFormat="1" applyFont="1" applyFill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165" fontId="23" fillId="5" borderId="11" xfId="5" applyNumberFormat="1" applyFont="1" applyFill="1" applyBorder="1" applyAlignment="1">
      <alignment horizontal="center" vertical="center" wrapText="1"/>
    </xf>
    <xf numFmtId="165" fontId="31" fillId="4" borderId="4" xfId="5" applyNumberFormat="1" applyFont="1" applyFill="1" applyBorder="1" applyAlignment="1">
      <alignment horizontal="center" vertical="center" wrapText="1"/>
    </xf>
    <xf numFmtId="2" fontId="22" fillId="2" borderId="4" xfId="5" applyNumberFormat="1" applyFont="1" applyFill="1" applyBorder="1" applyAlignment="1">
      <alignment horizontal="center" vertical="center"/>
    </xf>
    <xf numFmtId="0" fontId="23" fillId="0" borderId="4" xfId="6" applyFont="1" applyFill="1" applyBorder="1" applyAlignment="1" applyProtection="1">
      <alignment horizontal="left" vertical="center"/>
    </xf>
    <xf numFmtId="0" fontId="23" fillId="0" borderId="4" xfId="0" applyFont="1" applyBorder="1" applyAlignment="1">
      <alignment horizontal="left" vertical="center"/>
    </xf>
    <xf numFmtId="164" fontId="23" fillId="2" borderId="4" xfId="2" applyNumberFormat="1" applyFont="1" applyFill="1" applyBorder="1" applyAlignment="1">
      <alignment horizontal="center" vertical="center"/>
    </xf>
    <xf numFmtId="0" fontId="22" fillId="2" borderId="4" xfId="5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165" fontId="28" fillId="7" borderId="15" xfId="0" applyNumberFormat="1" applyFont="1" applyFill="1" applyBorder="1" applyAlignment="1">
      <alignment horizontal="center" vertical="center"/>
    </xf>
    <xf numFmtId="1" fontId="29" fillId="0" borderId="4" xfId="0" applyNumberFormat="1" applyFont="1" applyBorder="1" applyAlignment="1">
      <alignment horizontal="center" vertical="center" shrinkToFit="1"/>
    </xf>
    <xf numFmtId="0" fontId="28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8" fillId="5" borderId="22" xfId="0" applyFont="1" applyFill="1" applyBorder="1" applyAlignment="1">
      <alignment horizontal="center" vertical="center"/>
    </xf>
    <xf numFmtId="165" fontId="27" fillId="0" borderId="4" xfId="7" applyNumberFormat="1" applyFont="1" applyBorder="1" applyAlignment="1">
      <alignment horizontal="center" vertical="center"/>
    </xf>
    <xf numFmtId="165" fontId="27" fillId="0" borderId="21" xfId="7" applyNumberFormat="1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7" fillId="0" borderId="4" xfId="0" applyFont="1" applyBorder="1" applyAlignment="1">
      <alignment horizontal="left" vertical="center" wrapText="1"/>
    </xf>
    <xf numFmtId="165" fontId="22" fillId="2" borderId="37" xfId="0" applyNumberFormat="1" applyFont="1" applyFill="1" applyBorder="1" applyAlignment="1">
      <alignment horizontal="center" vertical="center"/>
    </xf>
    <xf numFmtId="165" fontId="22" fillId="0" borderId="37" xfId="0" applyNumberFormat="1" applyFont="1" applyBorder="1" applyAlignment="1">
      <alignment horizontal="center" vertical="center"/>
    </xf>
    <xf numFmtId="165" fontId="23" fillId="5" borderId="37" xfId="0" applyNumberFormat="1" applyFont="1" applyFill="1" applyBorder="1" applyAlignment="1">
      <alignment horizontal="center" vertical="center"/>
    </xf>
    <xf numFmtId="165" fontId="25" fillId="2" borderId="4" xfId="2" applyNumberFormat="1" applyFont="1" applyFill="1" applyBorder="1" applyAlignment="1">
      <alignment horizontal="justify" vertical="center"/>
    </xf>
    <xf numFmtId="165" fontId="23" fillId="2" borderId="4" xfId="2" applyNumberFormat="1" applyFont="1" applyFill="1" applyBorder="1" applyAlignment="1">
      <alignment horizontal="justify" vertical="center"/>
    </xf>
    <xf numFmtId="165" fontId="23" fillId="2" borderId="37" xfId="5" applyNumberFormat="1" applyFont="1" applyFill="1" applyBorder="1" applyAlignment="1">
      <alignment horizontal="center" vertical="center" wrapText="1"/>
    </xf>
    <xf numFmtId="165" fontId="22" fillId="2" borderId="37" xfId="0" quotePrefix="1" applyNumberFormat="1" applyFont="1" applyFill="1" applyBorder="1" applyAlignment="1">
      <alignment horizontal="center" vertical="center"/>
    </xf>
    <xf numFmtId="165" fontId="23" fillId="6" borderId="37" xfId="0" applyNumberFormat="1" applyFont="1" applyFill="1" applyBorder="1" applyAlignment="1">
      <alignment horizontal="center" vertical="center"/>
    </xf>
    <xf numFmtId="165" fontId="23" fillId="4" borderId="37" xfId="5" applyNumberFormat="1" applyFont="1" applyFill="1" applyBorder="1" applyAlignment="1">
      <alignment horizontal="center" vertical="center" wrapText="1"/>
    </xf>
    <xf numFmtId="165" fontId="23" fillId="0" borderId="37" xfId="5" applyNumberFormat="1" applyFont="1" applyBorder="1" applyAlignment="1">
      <alignment horizontal="center" vertical="center" wrapText="1"/>
    </xf>
    <xf numFmtId="165" fontId="23" fillId="2" borderId="37" xfId="0" applyNumberFormat="1" applyFont="1" applyFill="1" applyBorder="1" applyAlignment="1">
      <alignment horizontal="center" vertical="center"/>
    </xf>
    <xf numFmtId="165" fontId="23" fillId="4" borderId="37" xfId="0" applyNumberFormat="1" applyFont="1" applyFill="1" applyBorder="1" applyAlignment="1">
      <alignment horizontal="center" vertical="center"/>
    </xf>
    <xf numFmtId="165" fontId="22" fillId="0" borderId="37" xfId="1" applyNumberFormat="1" applyFont="1" applyFill="1" applyBorder="1" applyAlignment="1">
      <alignment horizontal="center" vertical="center"/>
    </xf>
    <xf numFmtId="165" fontId="23" fillId="9" borderId="37" xfId="5" applyNumberFormat="1" applyFont="1" applyFill="1" applyBorder="1" applyAlignment="1">
      <alignment horizontal="center" vertical="center" wrapText="1"/>
    </xf>
    <xf numFmtId="165" fontId="23" fillId="0" borderId="37" xfId="0" applyNumberFormat="1" applyFont="1" applyBorder="1" applyAlignment="1">
      <alignment horizontal="center" vertical="center"/>
    </xf>
    <xf numFmtId="165" fontId="23" fillId="5" borderId="39" xfId="0" applyNumberFormat="1" applyFont="1" applyFill="1" applyBorder="1" applyAlignment="1">
      <alignment horizontal="center" vertical="center"/>
    </xf>
    <xf numFmtId="165" fontId="31" fillId="4" borderId="37" xfId="5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165" fontId="0" fillId="2" borderId="4" xfId="0" applyNumberForma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165" fontId="0" fillId="2" borderId="32" xfId="0" applyNumberFormat="1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/>
    </xf>
    <xf numFmtId="165" fontId="0" fillId="2" borderId="34" xfId="0" applyNumberFormat="1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center" vertical="center"/>
    </xf>
    <xf numFmtId="165" fontId="0" fillId="2" borderId="11" xfId="0" applyNumberForma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165" fontId="0" fillId="2" borderId="11" xfId="0" applyNumberFormat="1" applyFill="1" applyBorder="1" applyAlignment="1">
      <alignment horizontal="center" vertical="center"/>
    </xf>
    <xf numFmtId="165" fontId="0" fillId="2" borderId="26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5" fontId="0" fillId="2" borderId="21" xfId="0" applyNumberFormat="1" applyFill="1" applyBorder="1" applyAlignment="1">
      <alignment horizontal="center" vertical="center"/>
    </xf>
    <xf numFmtId="4" fontId="23" fillId="2" borderId="21" xfId="5" applyNumberFormat="1" applyFont="1" applyFill="1" applyBorder="1" applyAlignment="1">
      <alignment horizontal="center" vertical="center" wrapText="1"/>
    </xf>
    <xf numFmtId="10" fontId="22" fillId="2" borderId="4" xfId="2" applyNumberFormat="1" applyFont="1" applyFill="1" applyBorder="1" applyAlignment="1">
      <alignment horizontal="center" vertical="center"/>
    </xf>
    <xf numFmtId="0" fontId="32" fillId="4" borderId="4" xfId="0" applyFont="1" applyFill="1" applyBorder="1" applyAlignment="1">
      <alignment horizontal="left" vertical="center" wrapText="1"/>
    </xf>
    <xf numFmtId="165" fontId="23" fillId="4" borderId="4" xfId="0" applyNumberFormat="1" applyFont="1" applyFill="1" applyBorder="1" applyAlignment="1">
      <alignment horizontal="center" vertical="center"/>
    </xf>
    <xf numFmtId="165" fontId="22" fillId="0" borderId="4" xfId="1" applyNumberFormat="1" applyFont="1" applyFill="1" applyBorder="1" applyAlignment="1">
      <alignment horizontal="center" vertical="center"/>
    </xf>
    <xf numFmtId="165" fontId="23" fillId="9" borderId="4" xfId="5" applyNumberFormat="1" applyFont="1" applyFill="1" applyBorder="1" applyAlignment="1">
      <alignment horizontal="center" vertical="center" wrapText="1"/>
    </xf>
    <xf numFmtId="165" fontId="23" fillId="5" borderId="11" xfId="0" applyNumberFormat="1" applyFont="1" applyFill="1" applyBorder="1" applyAlignment="1">
      <alignment horizontal="center" vertical="center"/>
    </xf>
    <xf numFmtId="4" fontId="23" fillId="2" borderId="37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justify" vertical="center"/>
    </xf>
    <xf numFmtId="164" fontId="25" fillId="2" borderId="1" xfId="2" applyNumberFormat="1" applyFont="1" applyFill="1" applyBorder="1" applyAlignment="1">
      <alignment horizontal="justify" vertical="center"/>
    </xf>
    <xf numFmtId="164" fontId="23" fillId="2" borderId="1" xfId="2" applyNumberFormat="1" applyFont="1" applyFill="1" applyBorder="1" applyAlignment="1">
      <alignment horizontal="center" vertical="center"/>
    </xf>
    <xf numFmtId="164" fontId="23" fillId="2" borderId="1" xfId="2" applyNumberFormat="1" applyFont="1" applyFill="1" applyBorder="1" applyAlignment="1">
      <alignment horizontal="justify" vertical="center"/>
    </xf>
    <xf numFmtId="10" fontId="22" fillId="0" borderId="1" xfId="2" applyNumberFormat="1" applyFont="1" applyFill="1" applyBorder="1" applyAlignment="1">
      <alignment horizontal="center" vertical="center"/>
    </xf>
    <xf numFmtId="10" fontId="23" fillId="5" borderId="1" xfId="0" applyNumberFormat="1" applyFont="1" applyFill="1" applyBorder="1" applyAlignment="1">
      <alignment horizontal="center" vertical="center" wrapText="1"/>
    </xf>
    <xf numFmtId="0" fontId="23" fillId="4" borderId="37" xfId="0" applyFont="1" applyFill="1" applyBorder="1" applyAlignment="1">
      <alignment vertical="center"/>
    </xf>
    <xf numFmtId="165" fontId="23" fillId="3" borderId="37" xfId="5" applyNumberFormat="1" applyFont="1" applyFill="1" applyBorder="1" applyAlignment="1">
      <alignment horizontal="center" vertical="center" wrapText="1"/>
    </xf>
    <xf numFmtId="4" fontId="22" fillId="2" borderId="37" xfId="0" applyNumberFormat="1" applyFont="1" applyFill="1" applyBorder="1" applyAlignment="1">
      <alignment horizontal="center" vertical="center"/>
    </xf>
    <xf numFmtId="0" fontId="23" fillId="5" borderId="22" xfId="5" applyFont="1" applyFill="1" applyBorder="1" applyAlignment="1">
      <alignment horizontal="center" vertical="center" wrapText="1"/>
    </xf>
    <xf numFmtId="0" fontId="23" fillId="5" borderId="4" xfId="5" applyFont="1" applyFill="1" applyBorder="1" applyAlignment="1">
      <alignment horizontal="center" vertical="center" wrapText="1"/>
    </xf>
    <xf numFmtId="0" fontId="33" fillId="0" borderId="0" xfId="12" applyAlignment="1">
      <alignment horizontal="left" vertical="top"/>
    </xf>
    <xf numFmtId="0" fontId="29" fillId="2" borderId="4" xfId="0" applyFont="1" applyFill="1" applyBorder="1" applyAlignment="1">
      <alignment horizontal="center" vertical="center"/>
    </xf>
    <xf numFmtId="0" fontId="29" fillId="2" borderId="4" xfId="0" applyFont="1" applyFill="1" applyBorder="1" applyAlignment="1">
      <alignment horizontal="center"/>
    </xf>
    <xf numFmtId="165" fontId="23" fillId="4" borderId="21" xfId="5" applyNumberFormat="1" applyFont="1" applyFill="1" applyBorder="1" applyAlignment="1">
      <alignment horizontal="center" vertical="center" wrapText="1"/>
    </xf>
    <xf numFmtId="0" fontId="31" fillId="4" borderId="4" xfId="5" applyFont="1" applyFill="1" applyBorder="1" applyAlignment="1">
      <alignment horizontal="center" vertical="center" wrapText="1"/>
    </xf>
    <xf numFmtId="165" fontId="23" fillId="0" borderId="21" xfId="5" applyNumberFormat="1" applyFont="1" applyBorder="1" applyAlignment="1">
      <alignment horizontal="center" vertical="center" wrapText="1"/>
    </xf>
    <xf numFmtId="0" fontId="29" fillId="2" borderId="11" xfId="0" applyFont="1" applyFill="1" applyBorder="1" applyAlignment="1">
      <alignment horizontal="center"/>
    </xf>
    <xf numFmtId="0" fontId="27" fillId="0" borderId="5" xfId="0" applyFont="1" applyBorder="1" applyAlignment="1">
      <alignment horizontal="center" vertical="center"/>
    </xf>
    <xf numFmtId="165" fontId="27" fillId="0" borderId="5" xfId="7" applyNumberFormat="1" applyFont="1" applyBorder="1" applyAlignment="1">
      <alignment horizontal="center" vertical="center"/>
    </xf>
    <xf numFmtId="165" fontId="27" fillId="0" borderId="25" xfId="7" applyNumberFormat="1" applyFont="1" applyBorder="1" applyAlignment="1">
      <alignment horizontal="center" vertical="center"/>
    </xf>
    <xf numFmtId="1" fontId="29" fillId="0" borderId="4" xfId="12" applyNumberFormat="1" applyFont="1" applyBorder="1" applyAlignment="1">
      <alignment horizontal="center" vertical="center" shrinkToFit="1"/>
    </xf>
    <xf numFmtId="0" fontId="27" fillId="0" borderId="4" xfId="12" applyFont="1" applyBorder="1" applyAlignment="1">
      <alignment horizontal="center" vertical="center" wrapText="1"/>
    </xf>
    <xf numFmtId="1" fontId="29" fillId="0" borderId="22" xfId="12" applyNumberFormat="1" applyFont="1" applyBorder="1" applyAlignment="1">
      <alignment horizontal="center" vertical="center" shrinkToFit="1"/>
    </xf>
    <xf numFmtId="165" fontId="29" fillId="0" borderId="4" xfId="12" applyNumberFormat="1" applyFont="1" applyBorder="1" applyAlignment="1">
      <alignment horizontal="center" vertical="center" wrapText="1"/>
    </xf>
    <xf numFmtId="165" fontId="29" fillId="0" borderId="21" xfId="12" applyNumberFormat="1" applyFont="1" applyBorder="1" applyAlignment="1">
      <alignment horizontal="center" vertical="center" wrapText="1"/>
    </xf>
    <xf numFmtId="165" fontId="25" fillId="2" borderId="21" xfId="2" applyNumberFormat="1" applyFont="1" applyFill="1" applyBorder="1" applyAlignment="1">
      <alignment horizontal="justify" vertical="center"/>
    </xf>
    <xf numFmtId="165" fontId="22" fillId="2" borderId="21" xfId="2" applyNumberFormat="1" applyFont="1" applyFill="1" applyBorder="1" applyAlignment="1">
      <alignment horizontal="center" vertical="center"/>
    </xf>
    <xf numFmtId="165" fontId="23" fillId="2" borderId="21" xfId="2" applyNumberFormat="1" applyFont="1" applyFill="1" applyBorder="1" applyAlignment="1">
      <alignment horizontal="justify" vertical="center"/>
    </xf>
    <xf numFmtId="165" fontId="23" fillId="6" borderId="21" xfId="5" applyNumberFormat="1" applyFont="1" applyFill="1" applyBorder="1" applyAlignment="1">
      <alignment horizontal="center" vertical="center" wrapText="1"/>
    </xf>
    <xf numFmtId="165" fontId="22" fillId="0" borderId="21" xfId="2" applyNumberFormat="1" applyFont="1" applyFill="1" applyBorder="1" applyAlignment="1">
      <alignment horizontal="center" vertical="center"/>
    </xf>
    <xf numFmtId="165" fontId="23" fillId="5" borderId="21" xfId="0" applyNumberFormat="1" applyFont="1" applyFill="1" applyBorder="1" applyAlignment="1">
      <alignment horizontal="center" vertical="center" wrapText="1"/>
    </xf>
    <xf numFmtId="0" fontId="22" fillId="4" borderId="21" xfId="0" applyFont="1" applyFill="1" applyBorder="1" applyAlignment="1">
      <alignment horizontal="left" vertical="center" wrapText="1"/>
    </xf>
    <xf numFmtId="165" fontId="23" fillId="5" borderId="21" xfId="2" applyNumberFormat="1" applyFont="1" applyFill="1" applyBorder="1" applyAlignment="1">
      <alignment horizontal="center" vertical="center"/>
    </xf>
    <xf numFmtId="165" fontId="31" fillId="4" borderId="21" xfId="5" applyNumberFormat="1" applyFont="1" applyFill="1" applyBorder="1" applyAlignment="1">
      <alignment horizontal="center" vertical="center" wrapText="1"/>
    </xf>
    <xf numFmtId="165" fontId="23" fillId="5" borderId="21" xfId="5" applyNumberFormat="1" applyFont="1" applyFill="1" applyBorder="1" applyAlignment="1">
      <alignment horizontal="center" vertical="center" wrapText="1"/>
    </xf>
    <xf numFmtId="165" fontId="23" fillId="2" borderId="21" xfId="0" applyNumberFormat="1" applyFont="1" applyFill="1" applyBorder="1" applyAlignment="1">
      <alignment horizontal="right" vertical="center"/>
    </xf>
    <xf numFmtId="165" fontId="23" fillId="2" borderId="21" xfId="0" applyNumberFormat="1" applyFont="1" applyFill="1" applyBorder="1" applyAlignment="1">
      <alignment horizontal="center" vertical="center"/>
    </xf>
    <xf numFmtId="165" fontId="22" fillId="0" borderId="21" xfId="5" applyNumberFormat="1" applyFont="1" applyBorder="1" applyAlignment="1">
      <alignment horizontal="center" vertical="center" wrapText="1"/>
    </xf>
    <xf numFmtId="165" fontId="22" fillId="0" borderId="21" xfId="5" applyNumberFormat="1" applyFont="1" applyBorder="1" applyAlignment="1">
      <alignment horizontal="center" vertical="center"/>
    </xf>
    <xf numFmtId="165" fontId="23" fillId="0" borderId="21" xfId="0" applyNumberFormat="1" applyFont="1" applyBorder="1" applyAlignment="1">
      <alignment horizontal="center" vertical="center"/>
    </xf>
    <xf numFmtId="165" fontId="23" fillId="3" borderId="21" xfId="5" applyNumberFormat="1" applyFont="1" applyFill="1" applyBorder="1" applyAlignment="1">
      <alignment horizontal="center" vertical="center" wrapText="1"/>
    </xf>
    <xf numFmtId="165" fontId="23" fillId="5" borderId="26" xfId="5" applyNumberFormat="1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left" vertical="center" wrapText="1"/>
    </xf>
    <xf numFmtId="10" fontId="23" fillId="2" borderId="2" xfId="2" applyNumberFormat="1" applyFont="1" applyFill="1" applyBorder="1" applyAlignment="1">
      <alignment vertical="center"/>
    </xf>
    <xf numFmtId="0" fontId="23" fillId="3" borderId="2" xfId="5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left" vertical="center" wrapText="1"/>
    </xf>
    <xf numFmtId="10" fontId="23" fillId="2" borderId="1" xfId="2" applyNumberFormat="1" applyFont="1" applyFill="1" applyBorder="1" applyAlignment="1">
      <alignment vertical="center"/>
    </xf>
    <xf numFmtId="0" fontId="23" fillId="4" borderId="2" xfId="5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vertical="center"/>
    </xf>
    <xf numFmtId="4" fontId="23" fillId="2" borderId="4" xfId="0" applyNumberFormat="1" applyFont="1" applyFill="1" applyBorder="1" applyAlignment="1">
      <alignment horizontal="center" vertical="center"/>
    </xf>
    <xf numFmtId="4" fontId="22" fillId="2" borderId="4" xfId="0" applyNumberFormat="1" applyFont="1" applyFill="1" applyBorder="1" applyAlignment="1">
      <alignment horizontal="center" vertical="center"/>
    </xf>
    <xf numFmtId="165" fontId="23" fillId="5" borderId="5" xfId="0" applyNumberFormat="1" applyFont="1" applyFill="1" applyBorder="1" applyAlignment="1">
      <alignment horizontal="center" vertical="center"/>
    </xf>
    <xf numFmtId="165" fontId="23" fillId="5" borderId="46" xfId="0" applyNumberFormat="1" applyFont="1" applyFill="1" applyBorder="1" applyAlignment="1">
      <alignment horizontal="center" vertical="center"/>
    </xf>
    <xf numFmtId="165" fontId="28" fillId="7" borderId="15" xfId="12" applyNumberFormat="1" applyFont="1" applyFill="1" applyBorder="1" applyAlignment="1">
      <alignment horizontal="center" vertical="center" wrapText="1"/>
    </xf>
    <xf numFmtId="164" fontId="25" fillId="2" borderId="4" xfId="2" applyNumberFormat="1" applyFont="1" applyFill="1" applyBorder="1" applyAlignment="1">
      <alignment vertical="center"/>
    </xf>
    <xf numFmtId="0" fontId="29" fillId="2" borderId="32" xfId="0" applyFont="1" applyFill="1" applyBorder="1" applyAlignment="1">
      <alignment horizontal="center" vertical="center"/>
    </xf>
    <xf numFmtId="165" fontId="0" fillId="2" borderId="32" xfId="0" applyNumberFormat="1" applyFill="1" applyBorder="1" applyAlignment="1">
      <alignment horizontal="center" vertical="center" wrapText="1"/>
    </xf>
    <xf numFmtId="165" fontId="23" fillId="4" borderId="21" xfId="0" applyNumberFormat="1" applyFont="1" applyFill="1" applyBorder="1" applyAlignment="1">
      <alignment horizontal="center" vertical="center"/>
    </xf>
    <xf numFmtId="165" fontId="22" fillId="0" borderId="21" xfId="1" applyNumberFormat="1" applyFont="1" applyFill="1" applyBorder="1" applyAlignment="1">
      <alignment horizontal="center" vertical="center"/>
    </xf>
    <xf numFmtId="165" fontId="23" fillId="9" borderId="21" xfId="5" applyNumberFormat="1" applyFont="1" applyFill="1" applyBorder="1" applyAlignment="1">
      <alignment horizontal="center" vertical="center" wrapText="1"/>
    </xf>
    <xf numFmtId="165" fontId="23" fillId="5" borderId="26" xfId="0" applyNumberFormat="1" applyFont="1" applyFill="1" applyBorder="1" applyAlignment="1">
      <alignment horizontal="center" vertical="center"/>
    </xf>
    <xf numFmtId="0" fontId="28" fillId="5" borderId="35" xfId="0" applyFont="1" applyFill="1" applyBorder="1" applyAlignment="1">
      <alignment horizontal="center" vertical="center"/>
    </xf>
    <xf numFmtId="0" fontId="28" fillId="5" borderId="32" xfId="0" applyFont="1" applyFill="1" applyBorder="1" applyAlignment="1">
      <alignment horizontal="center" vertical="center"/>
    </xf>
    <xf numFmtId="0" fontId="28" fillId="5" borderId="34" xfId="0" applyFont="1" applyFill="1" applyBorder="1" applyAlignment="1">
      <alignment horizontal="center" vertical="center"/>
    </xf>
    <xf numFmtId="165" fontId="28" fillId="5" borderId="4" xfId="0" applyNumberFormat="1" applyFont="1" applyFill="1" applyBorder="1" applyAlignment="1">
      <alignment horizontal="center" vertical="center"/>
    </xf>
    <xf numFmtId="165" fontId="28" fillId="5" borderId="21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27" fillId="2" borderId="36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27" fillId="0" borderId="11" xfId="0" applyFont="1" applyBorder="1" applyAlignment="1">
      <alignment horizontal="center" vertical="center"/>
    </xf>
    <xf numFmtId="1" fontId="29" fillId="0" borderId="11" xfId="0" applyNumberFormat="1" applyFont="1" applyBorder="1" applyAlignment="1">
      <alignment horizontal="center" vertical="center" shrinkToFit="1"/>
    </xf>
    <xf numFmtId="165" fontId="27" fillId="0" borderId="11" xfId="0" applyNumberFormat="1" applyFont="1" applyBorder="1" applyAlignment="1">
      <alignment horizontal="center" vertical="center"/>
    </xf>
    <xf numFmtId="165" fontId="27" fillId="0" borderId="11" xfId="7" applyNumberFormat="1" applyFont="1" applyBorder="1" applyAlignment="1">
      <alignment horizontal="center" vertical="center"/>
    </xf>
    <xf numFmtId="165" fontId="27" fillId="0" borderId="26" xfId="7" applyNumberFormat="1" applyFont="1" applyBorder="1" applyAlignment="1">
      <alignment horizontal="center" vertical="center"/>
    </xf>
    <xf numFmtId="0" fontId="28" fillId="2" borderId="41" xfId="0" applyFont="1" applyFill="1" applyBorder="1" applyAlignment="1">
      <alignment horizontal="center" vertical="top" wrapText="1"/>
    </xf>
    <xf numFmtId="0" fontId="28" fillId="2" borderId="0" xfId="0" applyFont="1" applyFill="1" applyAlignment="1">
      <alignment horizontal="center" vertical="top" wrapText="1"/>
    </xf>
    <xf numFmtId="0" fontId="28" fillId="2" borderId="42" xfId="0" applyFont="1" applyFill="1" applyBorder="1" applyAlignment="1">
      <alignment horizontal="center" vertical="top" wrapText="1"/>
    </xf>
    <xf numFmtId="0" fontId="27" fillId="0" borderId="2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3" fillId="4" borderId="4" xfId="5" applyFont="1" applyFill="1" applyBorder="1" applyAlignment="1">
      <alignment horizontal="center" vertical="center"/>
    </xf>
    <xf numFmtId="0" fontId="23" fillId="4" borderId="21" xfId="5" applyFont="1" applyFill="1" applyBorder="1" applyAlignment="1">
      <alignment horizontal="center" vertical="center" wrapText="1"/>
    </xf>
    <xf numFmtId="0" fontId="27" fillId="2" borderId="22" xfId="0" applyFon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center" vertical="center"/>
    </xf>
    <xf numFmtId="165" fontId="27" fillId="2" borderId="4" xfId="0" applyNumberFormat="1" applyFont="1" applyFill="1" applyBorder="1" applyAlignment="1">
      <alignment horizontal="center" vertical="center"/>
    </xf>
    <xf numFmtId="165" fontId="27" fillId="2" borderId="4" xfId="7" applyNumberFormat="1" applyFont="1" applyFill="1" applyBorder="1" applyAlignment="1">
      <alignment horizontal="center" vertical="center"/>
    </xf>
    <xf numFmtId="165" fontId="27" fillId="2" borderId="21" xfId="7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" fontId="29" fillId="2" borderId="4" xfId="0" applyNumberFormat="1" applyFont="1" applyFill="1" applyBorder="1" applyAlignment="1">
      <alignment horizontal="center" vertical="center" shrinkToFit="1"/>
    </xf>
    <xf numFmtId="165" fontId="2" fillId="7" borderId="14" xfId="7" applyNumberFormat="1" applyFont="1" applyFill="1" applyBorder="1" applyAlignment="1">
      <alignment horizontal="center"/>
    </xf>
    <xf numFmtId="0" fontId="0" fillId="0" borderId="36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1" fontId="29" fillId="2" borderId="11" xfId="0" applyNumberFormat="1" applyFont="1" applyFill="1" applyBorder="1" applyAlignment="1">
      <alignment horizontal="center" vertical="center" shrinkToFit="1"/>
    </xf>
    <xf numFmtId="165" fontId="27" fillId="2" borderId="11" xfId="7" applyNumberFormat="1" applyFont="1" applyFill="1" applyBorder="1" applyAlignment="1">
      <alignment horizontal="center" vertical="center"/>
    </xf>
    <xf numFmtId="165" fontId="27" fillId="2" borderId="26" xfId="7" applyNumberFormat="1" applyFont="1" applyFill="1" applyBorder="1" applyAlignment="1">
      <alignment horizontal="center" vertical="center"/>
    </xf>
    <xf numFmtId="0" fontId="37" fillId="0" borderId="5" xfId="0" applyFont="1" applyBorder="1" applyAlignment="1">
      <alignment horizontal="left" vertical="center" wrapText="1"/>
    </xf>
    <xf numFmtId="165" fontId="28" fillId="7" borderId="15" xfId="7" applyNumberFormat="1" applyFont="1" applyFill="1" applyBorder="1" applyAlignment="1">
      <alignment horizontal="center" vertical="center"/>
    </xf>
    <xf numFmtId="0" fontId="35" fillId="5" borderId="22" xfId="0" applyFont="1" applyFill="1" applyBorder="1" applyAlignment="1">
      <alignment horizontal="center" vertical="center"/>
    </xf>
    <xf numFmtId="0" fontId="35" fillId="5" borderId="4" xfId="0" applyFont="1" applyFill="1" applyBorder="1" applyAlignment="1">
      <alignment horizontal="center" vertical="center" wrapText="1"/>
    </xf>
    <xf numFmtId="0" fontId="35" fillId="5" borderId="4" xfId="0" applyFont="1" applyFill="1" applyBorder="1" applyAlignment="1">
      <alignment horizontal="center" vertical="center"/>
    </xf>
    <xf numFmtId="0" fontId="27" fillId="2" borderId="4" xfId="15" applyFont="1" applyFill="1" applyBorder="1" applyAlignment="1">
      <alignment horizontal="left" vertical="center" wrapText="1"/>
    </xf>
    <xf numFmtId="0" fontId="29" fillId="0" borderId="4" xfId="15" applyFont="1" applyBorder="1" applyAlignment="1">
      <alignment horizontal="left" vertical="center" wrapText="1"/>
    </xf>
    <xf numFmtId="0" fontId="22" fillId="2" borderId="4" xfId="5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3" fillId="4" borderId="22" xfId="5" applyFont="1" applyFill="1" applyBorder="1" applyAlignment="1">
      <alignment horizontal="center" vertical="center" wrapText="1"/>
    </xf>
    <xf numFmtId="0" fontId="23" fillId="0" borderId="22" xfId="5" applyFont="1" applyBorder="1" applyAlignment="1">
      <alignment horizontal="center" vertical="center" wrapText="1"/>
    </xf>
    <xf numFmtId="0" fontId="22" fillId="0" borderId="4" xfId="5" applyFont="1" applyBorder="1" applyAlignment="1">
      <alignment horizontal="left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32" fillId="4" borderId="4" xfId="0" applyFont="1" applyFill="1" applyBorder="1" applyAlignment="1">
      <alignment horizontal="left" vertical="center" wrapText="1"/>
    </xf>
    <xf numFmtId="0" fontId="23" fillId="2" borderId="22" xfId="5" applyFont="1" applyFill="1" applyBorder="1" applyAlignment="1">
      <alignment horizontal="center" vertical="center" wrapText="1"/>
    </xf>
    <xf numFmtId="0" fontId="23" fillId="2" borderId="4" xfId="5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vertical="center"/>
    </xf>
    <xf numFmtId="0" fontId="23" fillId="4" borderId="21" xfId="5" applyFont="1" applyFill="1" applyBorder="1" applyAlignment="1">
      <alignment vertical="center"/>
    </xf>
    <xf numFmtId="0" fontId="26" fillId="2" borderId="22" xfId="5" applyFont="1" applyFill="1" applyBorder="1" applyAlignment="1">
      <alignment vertical="center" wrapText="1"/>
    </xf>
    <xf numFmtId="0" fontId="26" fillId="2" borderId="4" xfId="5" applyFont="1" applyFill="1" applyBorder="1" applyAlignment="1">
      <alignment vertical="center" wrapText="1"/>
    </xf>
    <xf numFmtId="0" fontId="26" fillId="2" borderId="21" xfId="5" applyFont="1" applyFill="1" applyBorder="1" applyAlignment="1">
      <alignment vertical="center" wrapText="1"/>
    </xf>
    <xf numFmtId="0" fontId="23" fillId="4" borderId="4" xfId="5" applyFont="1" applyFill="1" applyBorder="1" applyAlignment="1">
      <alignment vertical="center" wrapText="1"/>
    </xf>
    <xf numFmtId="0" fontId="23" fillId="4" borderId="21" xfId="5" applyFont="1" applyFill="1" applyBorder="1" applyAlignment="1">
      <alignment vertical="center" wrapText="1"/>
    </xf>
    <xf numFmtId="0" fontId="23" fillId="2" borderId="4" xfId="5" applyFont="1" applyFill="1" applyBorder="1" applyAlignment="1">
      <alignment vertical="center"/>
    </xf>
    <xf numFmtId="0" fontId="23" fillId="2" borderId="21" xfId="5" applyFont="1" applyFill="1" applyBorder="1" applyAlignment="1">
      <alignment vertical="center"/>
    </xf>
    <xf numFmtId="0" fontId="32" fillId="4" borderId="21" xfId="0" applyFont="1" applyFill="1" applyBorder="1" applyAlignment="1">
      <alignment horizontal="left" vertical="center" wrapText="1"/>
    </xf>
    <xf numFmtId="0" fontId="23" fillId="8" borderId="4" xfId="5" applyFont="1" applyFill="1" applyBorder="1" applyAlignment="1">
      <alignment vertical="center"/>
    </xf>
    <xf numFmtId="0" fontId="23" fillId="8" borderId="21" xfId="5" applyFont="1" applyFill="1" applyBorder="1" applyAlignment="1">
      <alignment vertical="center"/>
    </xf>
    <xf numFmtId="0" fontId="23" fillId="0" borderId="21" xfId="0" applyFont="1" applyBorder="1" applyAlignment="1">
      <alignment vertical="center"/>
    </xf>
    <xf numFmtId="164" fontId="25" fillId="2" borderId="21" xfId="2" applyNumberFormat="1" applyFont="1" applyFill="1" applyBorder="1" applyAlignment="1">
      <alignment vertical="center"/>
    </xf>
    <xf numFmtId="0" fontId="22" fillId="2" borderId="4" xfId="5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3" fillId="4" borderId="22" xfId="5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horizontal="center" vertical="center"/>
    </xf>
    <xf numFmtId="0" fontId="23" fillId="0" borderId="22" xfId="5" applyFont="1" applyBorder="1" applyAlignment="1">
      <alignment horizontal="center" vertical="center" wrapText="1"/>
    </xf>
    <xf numFmtId="0" fontId="22" fillId="0" borderId="4" xfId="5" applyFont="1" applyBorder="1" applyAlignment="1">
      <alignment horizontal="left" vertical="center" wrapText="1"/>
    </xf>
    <xf numFmtId="0" fontId="23" fillId="2" borderId="22" xfId="5" applyFont="1" applyFill="1" applyBorder="1" applyAlignment="1">
      <alignment horizontal="center" vertical="center" wrapText="1"/>
    </xf>
    <xf numFmtId="0" fontId="23" fillId="2" borderId="4" xfId="5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 wrapText="1"/>
    </xf>
    <xf numFmtId="165" fontId="23" fillId="2" borderId="4" xfId="0" quotePrefix="1" applyNumberFormat="1" applyFont="1" applyFill="1" applyBorder="1" applyAlignment="1">
      <alignment horizontal="center" vertical="center"/>
    </xf>
    <xf numFmtId="165" fontId="23" fillId="2" borderId="21" xfId="0" quotePrefix="1" applyNumberFormat="1" applyFont="1" applyFill="1" applyBorder="1" applyAlignment="1">
      <alignment horizontal="center" vertical="center"/>
    </xf>
    <xf numFmtId="165" fontId="23" fillId="2" borderId="4" xfId="5" applyNumberFormat="1" applyFont="1" applyFill="1" applyBorder="1" applyAlignment="1">
      <alignment horizontal="center" vertical="center"/>
    </xf>
    <xf numFmtId="165" fontId="23" fillId="2" borderId="21" xfId="5" applyNumberFormat="1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justify" vertical="center"/>
    </xf>
    <xf numFmtId="0" fontId="22" fillId="0" borderId="4" xfId="0" applyFont="1" applyBorder="1" applyAlignment="1">
      <alignment horizontal="left" vertical="center" wrapText="1"/>
    </xf>
    <xf numFmtId="0" fontId="23" fillId="4" borderId="22" xfId="5" applyFont="1" applyFill="1" applyBorder="1" applyAlignment="1">
      <alignment horizontal="center" vertical="center" wrapText="1"/>
    </xf>
    <xf numFmtId="0" fontId="23" fillId="0" borderId="22" xfId="5" applyFont="1" applyBorder="1" applyAlignment="1">
      <alignment horizontal="center" vertical="center" wrapText="1"/>
    </xf>
    <xf numFmtId="0" fontId="22" fillId="0" borderId="4" xfId="5" applyFont="1" applyBorder="1" applyAlignment="1">
      <alignment horizontal="left" vertical="center" wrapText="1"/>
    </xf>
    <xf numFmtId="0" fontId="23" fillId="2" borderId="22" xfId="5" applyFont="1" applyFill="1" applyBorder="1" applyAlignment="1">
      <alignment horizontal="center" vertical="center" wrapText="1"/>
    </xf>
    <xf numFmtId="0" fontId="23" fillId="2" borderId="4" xfId="5" applyFont="1" applyFill="1" applyBorder="1" applyAlignment="1">
      <alignment horizontal="center" vertical="center" wrapText="1"/>
    </xf>
    <xf numFmtId="0" fontId="23" fillId="10" borderId="4" xfId="5" applyFont="1" applyFill="1" applyBorder="1" applyAlignment="1">
      <alignment horizontal="center" vertical="center"/>
    </xf>
    <xf numFmtId="0" fontId="23" fillId="10" borderId="4" xfId="5" applyFont="1" applyFill="1" applyBorder="1" applyAlignment="1">
      <alignment horizontal="center" vertical="center" wrapText="1"/>
    </xf>
    <xf numFmtId="0" fontId="23" fillId="10" borderId="21" xfId="5" applyFont="1" applyFill="1" applyBorder="1" applyAlignment="1">
      <alignment horizontal="center" vertical="center" wrapText="1"/>
    </xf>
    <xf numFmtId="165" fontId="35" fillId="7" borderId="51" xfId="12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left" vertical="center" wrapText="1"/>
    </xf>
    <xf numFmtId="1" fontId="29" fillId="0" borderId="36" xfId="12" applyNumberFormat="1" applyFont="1" applyBorder="1" applyAlignment="1">
      <alignment horizontal="center" vertical="center" shrinkToFit="1"/>
    </xf>
    <xf numFmtId="0" fontId="27" fillId="2" borderId="11" xfId="15" applyFont="1" applyFill="1" applyBorder="1" applyAlignment="1">
      <alignment horizontal="left" vertical="center" wrapText="1"/>
    </xf>
    <xf numFmtId="0" fontId="27" fillId="0" borderId="11" xfId="12" applyFont="1" applyBorder="1" applyAlignment="1">
      <alignment horizontal="center" vertical="center" wrapText="1"/>
    </xf>
    <xf numFmtId="1" fontId="29" fillId="0" borderId="11" xfId="12" applyNumberFormat="1" applyFont="1" applyBorder="1" applyAlignment="1">
      <alignment horizontal="center" vertical="center" shrinkToFit="1"/>
    </xf>
    <xf numFmtId="165" fontId="29" fillId="0" borderId="11" xfId="12" applyNumberFormat="1" applyFont="1" applyBorder="1" applyAlignment="1">
      <alignment horizontal="center" vertical="center" wrapText="1"/>
    </xf>
    <xf numFmtId="165" fontId="29" fillId="0" borderId="26" xfId="12" applyNumberFormat="1" applyFont="1" applyBorder="1" applyAlignment="1">
      <alignment horizontal="center" vertical="center" wrapText="1"/>
    </xf>
    <xf numFmtId="0" fontId="28" fillId="5" borderId="44" xfId="0" applyFont="1" applyFill="1" applyBorder="1" applyAlignment="1">
      <alignment horizontal="center" vertical="center" wrapText="1"/>
    </xf>
    <xf numFmtId="0" fontId="28" fillId="5" borderId="47" xfId="0" applyFont="1" applyFill="1" applyBorder="1" applyAlignment="1">
      <alignment horizontal="center" vertical="center" wrapText="1"/>
    </xf>
    <xf numFmtId="0" fontId="28" fillId="5" borderId="48" xfId="0" applyFont="1" applyFill="1" applyBorder="1" applyAlignment="1">
      <alignment horizontal="center" vertical="center" wrapText="1"/>
    </xf>
    <xf numFmtId="0" fontId="27" fillId="2" borderId="35" xfId="0" applyFont="1" applyFill="1" applyBorder="1" applyAlignment="1">
      <alignment horizontal="center" vertical="center" wrapText="1"/>
    </xf>
    <xf numFmtId="0" fontId="36" fillId="0" borderId="32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center" vertical="center"/>
    </xf>
    <xf numFmtId="1" fontId="29" fillId="0" borderId="32" xfId="0" applyNumberFormat="1" applyFont="1" applyBorder="1" applyAlignment="1">
      <alignment horizontal="center" vertical="center" shrinkToFit="1"/>
    </xf>
    <xf numFmtId="165" fontId="27" fillId="0" borderId="32" xfId="7" applyNumberFormat="1" applyFont="1" applyBorder="1" applyAlignment="1">
      <alignment horizontal="center" vertical="center"/>
    </xf>
    <xf numFmtId="165" fontId="27" fillId="0" borderId="34" xfId="7" applyNumberFormat="1" applyFont="1" applyBorder="1" applyAlignment="1">
      <alignment horizontal="center" vertical="center"/>
    </xf>
    <xf numFmtId="0" fontId="28" fillId="5" borderId="6" xfId="0" applyFont="1" applyFill="1" applyBorder="1" applyAlignment="1">
      <alignment horizontal="center" vertical="center" wrapText="1"/>
    </xf>
    <xf numFmtId="0" fontId="28" fillId="5" borderId="30" xfId="0" applyFont="1" applyFill="1" applyBorder="1" applyAlignment="1">
      <alignment horizontal="center" vertical="center" wrapText="1"/>
    </xf>
    <xf numFmtId="0" fontId="28" fillId="5" borderId="8" xfId="0" applyFont="1" applyFill="1" applyBorder="1" applyAlignment="1">
      <alignment horizontal="center" vertical="center" wrapText="1"/>
    </xf>
    <xf numFmtId="0" fontId="27" fillId="0" borderId="52" xfId="0" applyFont="1" applyBorder="1" applyAlignment="1">
      <alignment horizontal="center" vertical="center"/>
    </xf>
    <xf numFmtId="0" fontId="37" fillId="0" borderId="53" xfId="0" applyFont="1" applyBorder="1" applyAlignment="1">
      <alignment horizontal="left" vertical="center" wrapText="1"/>
    </xf>
    <xf numFmtId="0" fontId="27" fillId="0" borderId="53" xfId="0" applyFont="1" applyBorder="1" applyAlignment="1">
      <alignment horizontal="center" vertical="center"/>
    </xf>
    <xf numFmtId="0" fontId="29" fillId="0" borderId="53" xfId="0" applyNumberFormat="1" applyFont="1" applyBorder="1" applyAlignment="1">
      <alignment horizontal="center" vertical="center" shrinkToFit="1"/>
    </xf>
    <xf numFmtId="165" fontId="27" fillId="0" borderId="53" xfId="7" applyNumberFormat="1" applyFont="1" applyBorder="1" applyAlignment="1">
      <alignment horizontal="center" vertical="center"/>
    </xf>
    <xf numFmtId="165" fontId="27" fillId="0" borderId="54" xfId="7" applyNumberFormat="1" applyFont="1" applyBorder="1" applyAlignment="1">
      <alignment horizontal="center" vertical="center"/>
    </xf>
    <xf numFmtId="0" fontId="29" fillId="0" borderId="5" xfId="0" applyNumberFormat="1" applyFont="1" applyBorder="1" applyAlignment="1">
      <alignment horizontal="center" vertical="center" shrinkToFit="1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5" xfId="0" applyFont="1" applyBorder="1" applyAlignment="1">
      <alignment horizontal="center" vertical="center" wrapText="1"/>
    </xf>
    <xf numFmtId="0" fontId="33" fillId="0" borderId="41" xfId="12" applyBorder="1" applyAlignment="1">
      <alignment horizontal="center" vertical="top"/>
    </xf>
    <xf numFmtId="0" fontId="33" fillId="0" borderId="0" xfId="12" applyBorder="1" applyAlignment="1">
      <alignment horizontal="center" vertical="top"/>
    </xf>
    <xf numFmtId="0" fontId="33" fillId="0" borderId="42" xfId="12" applyBorder="1" applyAlignment="1">
      <alignment horizontal="center" vertical="top"/>
    </xf>
    <xf numFmtId="0" fontId="28" fillId="7" borderId="35" xfId="12" applyFont="1" applyFill="1" applyBorder="1" applyAlignment="1">
      <alignment horizontal="center" vertical="center" wrapText="1"/>
    </xf>
    <xf numFmtId="0" fontId="28" fillId="7" borderId="32" xfId="12" applyFont="1" applyFill="1" applyBorder="1" applyAlignment="1">
      <alignment horizontal="center" vertical="center" wrapText="1"/>
    </xf>
    <xf numFmtId="0" fontId="28" fillId="7" borderId="34" xfId="12" applyFont="1" applyFill="1" applyBorder="1" applyAlignment="1">
      <alignment horizontal="center" vertical="center" wrapText="1"/>
    </xf>
    <xf numFmtId="0" fontId="28" fillId="5" borderId="45" xfId="12" applyFont="1" applyFill="1" applyBorder="1" applyAlignment="1">
      <alignment horizontal="center" vertical="center" wrapText="1"/>
    </xf>
    <xf numFmtId="0" fontId="28" fillId="5" borderId="49" xfId="12" applyFont="1" applyFill="1" applyBorder="1" applyAlignment="1">
      <alignment horizontal="center" vertical="center" wrapText="1"/>
    </xf>
    <xf numFmtId="0" fontId="28" fillId="5" borderId="9" xfId="12" applyFont="1" applyFill="1" applyBorder="1" applyAlignment="1">
      <alignment horizontal="center" vertical="center" wrapText="1"/>
    </xf>
    <xf numFmtId="0" fontId="28" fillId="5" borderId="7" xfId="12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8" fillId="7" borderId="27" xfId="0" applyFont="1" applyFill="1" applyBorder="1" applyAlignment="1">
      <alignment horizontal="center" vertical="center"/>
    </xf>
    <xf numFmtId="0" fontId="28" fillId="7" borderId="28" xfId="0" applyFont="1" applyFill="1" applyBorder="1" applyAlignment="1">
      <alignment horizontal="center" vertical="center"/>
    </xf>
    <xf numFmtId="0" fontId="28" fillId="7" borderId="29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2" fillId="2" borderId="4" xfId="4" applyFont="1" applyFill="1" applyBorder="1" applyAlignment="1">
      <alignment horizontal="justify" vertical="center" wrapText="1"/>
    </xf>
    <xf numFmtId="0" fontId="22" fillId="2" borderId="4" xfId="0" applyFont="1" applyFill="1" applyBorder="1" applyAlignment="1">
      <alignment horizontal="justify" vertical="center"/>
    </xf>
    <xf numFmtId="4" fontId="31" fillId="0" borderId="1" xfId="0" applyNumberFormat="1" applyFont="1" applyBorder="1" applyAlignment="1">
      <alignment horizontal="center" vertical="center"/>
    </xf>
    <xf numFmtId="4" fontId="31" fillId="0" borderId="3" xfId="0" applyNumberFormat="1" applyFont="1" applyBorder="1" applyAlignment="1">
      <alignment horizontal="center" vertical="center"/>
    </xf>
    <xf numFmtId="0" fontId="22" fillId="2" borderId="1" xfId="4" applyFont="1" applyFill="1" applyBorder="1" applyAlignment="1">
      <alignment horizontal="center" vertical="center" wrapText="1"/>
    </xf>
    <xf numFmtId="0" fontId="22" fillId="2" borderId="2" xfId="4" applyFont="1" applyFill="1" applyBorder="1" applyAlignment="1">
      <alignment horizontal="center" vertical="center" wrapText="1"/>
    </xf>
    <xf numFmtId="0" fontId="22" fillId="2" borderId="37" xfId="4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7" xfId="0" applyFont="1" applyFill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/>
    </xf>
    <xf numFmtId="4" fontId="23" fillId="0" borderId="37" xfId="0" applyNumberFormat="1" applyFont="1" applyBorder="1" applyAlignment="1">
      <alignment horizontal="center" vertical="center"/>
    </xf>
    <xf numFmtId="0" fontId="22" fillId="2" borderId="4" xfId="5" applyFont="1" applyFill="1" applyBorder="1" applyAlignment="1">
      <alignment horizontal="left" vertical="center" wrapText="1"/>
    </xf>
    <xf numFmtId="0" fontId="23" fillId="0" borderId="4" xfId="5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3" fillId="4" borderId="22" xfId="5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horizontal="center" vertical="center" wrapText="1"/>
    </xf>
    <xf numFmtId="0" fontId="23" fillId="6" borderId="22" xfId="5" applyFont="1" applyFill="1" applyBorder="1" applyAlignment="1">
      <alignment horizontal="center" vertical="center" wrapText="1"/>
    </xf>
    <xf numFmtId="0" fontId="23" fillId="6" borderId="4" xfId="5" applyFont="1" applyFill="1" applyBorder="1" applyAlignment="1">
      <alignment horizontal="center" vertical="center" wrapText="1"/>
    </xf>
    <xf numFmtId="0" fontId="23" fillId="4" borderId="22" xfId="5" applyFont="1" applyFill="1" applyBorder="1" applyAlignment="1">
      <alignment horizontal="center" vertical="center"/>
    </xf>
    <xf numFmtId="0" fontId="23" fillId="4" borderId="4" xfId="5" applyFont="1" applyFill="1" applyBorder="1" applyAlignment="1">
      <alignment horizontal="center" vertical="center"/>
    </xf>
    <xf numFmtId="0" fontId="23" fillId="2" borderId="22" xfId="3" applyFont="1" applyFill="1" applyBorder="1" applyAlignment="1">
      <alignment horizontal="center" vertical="center"/>
    </xf>
    <xf numFmtId="0" fontId="23" fillId="2" borderId="4" xfId="3" applyFont="1" applyFill="1" applyBorder="1" applyAlignment="1">
      <alignment horizontal="center" vertical="center"/>
    </xf>
    <xf numFmtId="0" fontId="23" fillId="2" borderId="21" xfId="3" applyFont="1" applyFill="1" applyBorder="1" applyAlignment="1">
      <alignment horizontal="center" vertical="center"/>
    </xf>
    <xf numFmtId="0" fontId="23" fillId="4" borderId="22" xfId="3" applyFont="1" applyFill="1" applyBorder="1" applyAlignment="1">
      <alignment horizontal="center" vertical="center" wrapText="1"/>
    </xf>
    <xf numFmtId="0" fontId="23" fillId="4" borderId="4" xfId="3" applyFont="1" applyFill="1" applyBorder="1" applyAlignment="1">
      <alignment horizontal="center" vertical="center" wrapText="1"/>
    </xf>
    <xf numFmtId="0" fontId="23" fillId="4" borderId="21" xfId="3" applyFont="1" applyFill="1" applyBorder="1" applyAlignment="1">
      <alignment horizontal="center" vertical="center" wrapText="1"/>
    </xf>
    <xf numFmtId="0" fontId="23" fillId="5" borderId="36" xfId="5" applyFont="1" applyFill="1" applyBorder="1" applyAlignment="1">
      <alignment horizontal="center" vertical="center" wrapText="1"/>
    </xf>
    <xf numFmtId="0" fontId="23" fillId="5" borderId="11" xfId="5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4" borderId="4" xfId="5" applyFont="1" applyFill="1" applyBorder="1" applyAlignment="1">
      <alignment horizontal="left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26" fillId="2" borderId="20" xfId="5" applyFont="1" applyFill="1" applyBorder="1" applyAlignment="1">
      <alignment horizontal="center" vertical="center" wrapText="1"/>
    </xf>
    <xf numFmtId="0" fontId="26" fillId="2" borderId="2" xfId="5" applyFont="1" applyFill="1" applyBorder="1" applyAlignment="1">
      <alignment horizontal="center" vertical="center" wrapText="1"/>
    </xf>
    <xf numFmtId="0" fontId="26" fillId="2" borderId="37" xfId="5" applyFont="1" applyFill="1" applyBorder="1" applyAlignment="1">
      <alignment horizontal="center" vertical="center" wrapText="1"/>
    </xf>
    <xf numFmtId="0" fontId="23" fillId="5" borderId="22" xfId="5" applyFont="1" applyFill="1" applyBorder="1" applyAlignment="1">
      <alignment horizontal="center" vertical="center" wrapText="1"/>
    </xf>
    <xf numFmtId="0" fontId="23" fillId="5" borderId="4" xfId="5" applyFont="1" applyFill="1" applyBorder="1" applyAlignment="1">
      <alignment horizontal="center" vertical="center" wrapText="1"/>
    </xf>
    <xf numFmtId="0" fontId="23" fillId="2" borderId="4" xfId="5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23" fillId="0" borderId="22" xfId="5" applyFont="1" applyBorder="1" applyAlignment="1">
      <alignment horizontal="center" vertical="center" wrapText="1"/>
    </xf>
    <xf numFmtId="0" fontId="23" fillId="3" borderId="22" xfId="5" applyFont="1" applyFill="1" applyBorder="1" applyAlignment="1">
      <alignment horizontal="center" vertical="center" wrapText="1"/>
    </xf>
    <xf numFmtId="0" fontId="23" fillId="3" borderId="4" xfId="5" applyFont="1" applyFill="1" applyBorder="1" applyAlignment="1">
      <alignment horizontal="center" vertical="center" wrapText="1"/>
    </xf>
    <xf numFmtId="0" fontId="22" fillId="0" borderId="4" xfId="5" applyFont="1" applyBorder="1" applyAlignment="1">
      <alignment horizontal="left" vertical="center" wrapText="1"/>
    </xf>
    <xf numFmtId="0" fontId="23" fillId="0" borderId="4" xfId="5" applyFont="1" applyBorder="1" applyAlignment="1">
      <alignment horizontal="center" vertical="center" wrapText="1"/>
    </xf>
    <xf numFmtId="0" fontId="31" fillId="4" borderId="4" xfId="5" applyFont="1" applyFill="1" applyBorder="1" applyAlignment="1">
      <alignment horizontal="left" vertical="center" wrapText="1"/>
    </xf>
    <xf numFmtId="0" fontId="32" fillId="4" borderId="4" xfId="0" applyFont="1" applyFill="1" applyBorder="1" applyAlignment="1">
      <alignment horizontal="left"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23" fillId="0" borderId="4" xfId="5" applyFont="1" applyBorder="1" applyAlignment="1">
      <alignment horizontal="center" vertical="center"/>
    </xf>
    <xf numFmtId="0" fontId="23" fillId="2" borderId="22" xfId="5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horizontal="center" vertical="center"/>
    </xf>
    <xf numFmtId="0" fontId="23" fillId="6" borderId="35" xfId="0" applyFont="1" applyFill="1" applyBorder="1" applyAlignment="1">
      <alignment horizontal="center" vertical="center"/>
    </xf>
    <xf numFmtId="0" fontId="23" fillId="6" borderId="32" xfId="0" applyFont="1" applyFill="1" applyBorder="1" applyAlignment="1">
      <alignment horizontal="center" vertical="center"/>
    </xf>
    <xf numFmtId="0" fontId="23" fillId="6" borderId="34" xfId="0" applyFont="1" applyFill="1" applyBorder="1" applyAlignment="1">
      <alignment horizontal="center" vertical="center"/>
    </xf>
    <xf numFmtId="0" fontId="23" fillId="2" borderId="4" xfId="3" applyFont="1" applyFill="1" applyBorder="1" applyAlignment="1">
      <alignment horizontal="center" vertical="center" wrapText="1"/>
    </xf>
    <xf numFmtId="0" fontId="23" fillId="2" borderId="21" xfId="3" applyFont="1" applyFill="1" applyBorder="1" applyAlignment="1">
      <alignment horizontal="center" vertical="center" wrapText="1"/>
    </xf>
    <xf numFmtId="0" fontId="22" fillId="2" borderId="4" xfId="3" applyFont="1" applyFill="1" applyBorder="1" applyAlignment="1">
      <alignment horizontal="center" vertical="center" wrapText="1"/>
    </xf>
    <xf numFmtId="0" fontId="22" fillId="2" borderId="21" xfId="3" applyFont="1" applyFill="1" applyBorder="1" applyAlignment="1">
      <alignment horizontal="center" vertical="center" wrapText="1"/>
    </xf>
    <xf numFmtId="0" fontId="23" fillId="2" borderId="22" xfId="5" applyFont="1" applyFill="1" applyBorder="1" applyAlignment="1">
      <alignment horizontal="center" vertical="center" wrapText="1"/>
    </xf>
    <xf numFmtId="0" fontId="23" fillId="2" borderId="4" xfId="5" applyFont="1" applyFill="1" applyBorder="1" applyAlignment="1">
      <alignment horizontal="center" vertical="center" wrapText="1"/>
    </xf>
    <xf numFmtId="0" fontId="23" fillId="2" borderId="21" xfId="5" applyFont="1" applyFill="1" applyBorder="1" applyAlignment="1">
      <alignment horizontal="center" vertical="center" wrapText="1"/>
    </xf>
    <xf numFmtId="4" fontId="23" fillId="2" borderId="4" xfId="5" applyNumberFormat="1" applyFont="1" applyFill="1" applyBorder="1" applyAlignment="1">
      <alignment horizontal="center" vertical="center" wrapText="1"/>
    </xf>
    <xf numFmtId="4" fontId="23" fillId="2" borderId="21" xfId="5" applyNumberFormat="1" applyFont="1" applyFill="1" applyBorder="1" applyAlignment="1">
      <alignment horizontal="center" vertical="center" wrapText="1"/>
    </xf>
    <xf numFmtId="0" fontId="22" fillId="2" borderId="4" xfId="4" applyFont="1" applyFill="1" applyBorder="1" applyAlignment="1">
      <alignment horizontal="center" vertical="center" wrapText="1"/>
    </xf>
    <xf numFmtId="0" fontId="22" fillId="2" borderId="21" xfId="4" applyFont="1" applyFill="1" applyBorder="1" applyAlignment="1">
      <alignment horizontal="center" vertical="center" wrapText="1"/>
    </xf>
    <xf numFmtId="4" fontId="31" fillId="0" borderId="4" xfId="0" applyNumberFormat="1" applyFont="1" applyBorder="1" applyAlignment="1">
      <alignment horizontal="center" vertical="center"/>
    </xf>
    <xf numFmtId="4" fontId="23" fillId="0" borderId="4" xfId="0" applyNumberFormat="1" applyFont="1" applyBorder="1" applyAlignment="1">
      <alignment horizontal="center" vertical="center"/>
    </xf>
    <xf numFmtId="4" fontId="23" fillId="0" borderId="21" xfId="0" applyNumberFormat="1" applyFont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21" xfId="0" applyFont="1" applyFill="1" applyBorder="1" applyAlignment="1">
      <alignment horizontal="center" vertical="center"/>
    </xf>
    <xf numFmtId="0" fontId="23" fillId="8" borderId="22" xfId="5" applyFont="1" applyFill="1" applyBorder="1" applyAlignment="1">
      <alignment horizontal="center" vertical="center"/>
    </xf>
    <xf numFmtId="0" fontId="23" fillId="8" borderId="4" xfId="5" applyFont="1" applyFill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9" borderId="22" xfId="5" applyFont="1" applyFill="1" applyBorder="1" applyAlignment="1">
      <alignment horizontal="center" vertical="center" wrapText="1"/>
    </xf>
    <xf numFmtId="0" fontId="23" fillId="9" borderId="4" xfId="5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3" xfId="3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center" vertical="center" wrapText="1"/>
    </xf>
    <xf numFmtId="0" fontId="23" fillId="2" borderId="2" xfId="3" applyFont="1" applyFill="1" applyBorder="1" applyAlignment="1">
      <alignment horizontal="center" vertical="center" wrapText="1"/>
    </xf>
    <xf numFmtId="0" fontId="23" fillId="2" borderId="3" xfId="3" applyFont="1" applyFill="1" applyBorder="1" applyAlignment="1">
      <alignment horizontal="center" vertical="center" wrapText="1"/>
    </xf>
    <xf numFmtId="0" fontId="22" fillId="2" borderId="3" xfId="4" applyFont="1" applyFill="1" applyBorder="1" applyAlignment="1">
      <alignment horizontal="center" vertical="center" wrapText="1"/>
    </xf>
    <xf numFmtId="4" fontId="31" fillId="0" borderId="21" xfId="0" applyNumberFormat="1" applyFont="1" applyBorder="1" applyAlignment="1">
      <alignment horizontal="center" vertical="center"/>
    </xf>
    <xf numFmtId="0" fontId="23" fillId="2" borderId="4" xfId="0" applyFont="1" applyFill="1" applyBorder="1" applyAlignment="1">
      <alignment horizontal="right" vertical="center"/>
    </xf>
    <xf numFmtId="0" fontId="23" fillId="2" borderId="21" xfId="0" applyFont="1" applyFill="1" applyBorder="1" applyAlignment="1">
      <alignment horizontal="right" vertical="center"/>
    </xf>
    <xf numFmtId="0" fontId="23" fillId="8" borderId="21" xfId="5" applyFont="1" applyFill="1" applyBorder="1" applyAlignment="1">
      <alignment horizontal="center" vertical="center"/>
    </xf>
    <xf numFmtId="0" fontId="26" fillId="2" borderId="22" xfId="5" applyFont="1" applyFill="1" applyBorder="1" applyAlignment="1">
      <alignment horizontal="center" vertical="center" wrapText="1"/>
    </xf>
    <xf numFmtId="0" fontId="26" fillId="2" borderId="4" xfId="5" applyFont="1" applyFill="1" applyBorder="1" applyAlignment="1">
      <alignment horizontal="center" vertical="center" wrapText="1"/>
    </xf>
    <xf numFmtId="0" fontId="26" fillId="2" borderId="21" xfId="5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2" fillId="0" borderId="1" xfId="5" applyFont="1" applyBorder="1" applyAlignment="1">
      <alignment horizontal="left" vertical="center" wrapText="1"/>
    </xf>
    <xf numFmtId="0" fontId="22" fillId="0" borderId="3" xfId="5" applyFont="1" applyBorder="1" applyAlignment="1">
      <alignment horizontal="left" vertical="center" wrapText="1"/>
    </xf>
    <xf numFmtId="0" fontId="23" fillId="4" borderId="1" xfId="5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horizontal="center" vertical="center"/>
    </xf>
    <xf numFmtId="0" fontId="23" fillId="2" borderId="21" xfId="5" applyFont="1" applyFill="1" applyBorder="1" applyAlignment="1">
      <alignment horizontal="center" vertical="center"/>
    </xf>
    <xf numFmtId="0" fontId="26" fillId="2" borderId="1" xfId="5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center" vertical="center"/>
    </xf>
    <xf numFmtId="4" fontId="31" fillId="0" borderId="2" xfId="0" applyNumberFormat="1" applyFont="1" applyBorder="1" applyAlignment="1">
      <alignment horizontal="center" vertical="center"/>
    </xf>
    <xf numFmtId="4" fontId="31" fillId="0" borderId="37" xfId="0" applyNumberFormat="1" applyFont="1" applyBorder="1" applyAlignment="1">
      <alignment horizontal="center" vertical="center"/>
    </xf>
    <xf numFmtId="4" fontId="23" fillId="2" borderId="1" xfId="5" applyNumberFormat="1" applyFont="1" applyFill="1" applyBorder="1" applyAlignment="1">
      <alignment horizontal="center" vertical="center" wrapText="1"/>
    </xf>
    <xf numFmtId="4" fontId="23" fillId="2" borderId="37" xfId="5" applyNumberFormat="1" applyFont="1" applyFill="1" applyBorder="1" applyAlignment="1">
      <alignment horizontal="center" vertical="center" wrapText="1"/>
    </xf>
    <xf numFmtId="0" fontId="23" fillId="6" borderId="43" xfId="0" applyFont="1" applyFill="1" applyBorder="1" applyAlignment="1">
      <alignment horizontal="center" vertical="center"/>
    </xf>
    <xf numFmtId="0" fontId="23" fillId="4" borderId="1" xfId="3" applyFont="1" applyFill="1" applyBorder="1" applyAlignment="1">
      <alignment horizontal="center" vertical="center" wrapText="1"/>
    </xf>
    <xf numFmtId="0" fontId="23" fillId="8" borderId="1" xfId="5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2" borderId="1" xfId="0" applyFont="1" applyFill="1" applyBorder="1" applyAlignment="1">
      <alignment horizontal="right" vertical="center"/>
    </xf>
    <xf numFmtId="0" fontId="23" fillId="5" borderId="24" xfId="5" applyFont="1" applyFill="1" applyBorder="1" applyAlignment="1">
      <alignment horizontal="center" vertical="center" wrapText="1"/>
    </xf>
    <xf numFmtId="0" fontId="23" fillId="5" borderId="5" xfId="5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165" fontId="31" fillId="0" borderId="1" xfId="0" applyNumberFormat="1" applyFont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37" xfId="0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 wrapText="1"/>
    </xf>
    <xf numFmtId="0" fontId="22" fillId="0" borderId="38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41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42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40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2" borderId="1" xfId="5" applyFont="1" applyFill="1" applyBorder="1" applyAlignment="1">
      <alignment horizontal="left" vertical="center" wrapText="1"/>
    </xf>
    <xf numFmtId="0" fontId="23" fillId="6" borderId="1" xfId="5" applyFont="1" applyFill="1" applyBorder="1" applyAlignment="1">
      <alignment horizontal="center" vertical="center" wrapText="1"/>
    </xf>
    <xf numFmtId="0" fontId="31" fillId="7" borderId="19" xfId="0" applyFont="1" applyFill="1" applyBorder="1" applyAlignment="1">
      <alignment horizontal="center"/>
    </xf>
    <xf numFmtId="0" fontId="31" fillId="7" borderId="38" xfId="0" applyFont="1" applyFill="1" applyBorder="1" applyAlignment="1">
      <alignment horizontal="center"/>
    </xf>
    <xf numFmtId="0" fontId="31" fillId="7" borderId="18" xfId="0" applyFont="1" applyFill="1" applyBorder="1" applyAlignment="1">
      <alignment horizontal="center"/>
    </xf>
    <xf numFmtId="0" fontId="2" fillId="5" borderId="45" xfId="0" applyFont="1" applyFill="1" applyBorder="1" applyAlignment="1">
      <alignment horizontal="center"/>
    </xf>
    <xf numFmtId="0" fontId="2" fillId="5" borderId="49" xfId="0" applyFont="1" applyFill="1" applyBorder="1" applyAlignment="1">
      <alignment horizontal="center"/>
    </xf>
    <xf numFmtId="0" fontId="2" fillId="5" borderId="50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19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8" fillId="5" borderId="9" xfId="0" applyFont="1" applyFill="1" applyBorder="1" applyAlignment="1">
      <alignment horizontal="center" vertical="center"/>
    </xf>
    <xf numFmtId="0" fontId="28" fillId="5" borderId="7" xfId="0" applyFont="1" applyFill="1" applyBorder="1" applyAlignment="1">
      <alignment horizontal="center" vertical="center"/>
    </xf>
    <xf numFmtId="0" fontId="28" fillId="5" borderId="1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7" fillId="2" borderId="9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8" fillId="7" borderId="6" xfId="0" applyFont="1" applyFill="1" applyBorder="1" applyAlignment="1">
      <alignment horizontal="center" vertical="center"/>
    </xf>
    <xf numFmtId="0" fontId="28" fillId="7" borderId="30" xfId="0" applyFont="1" applyFill="1" applyBorder="1" applyAlignment="1">
      <alignment horizontal="center" vertical="center"/>
    </xf>
    <xf numFmtId="0" fontId="28" fillId="7" borderId="8" xfId="0" applyFont="1" applyFill="1" applyBorder="1" applyAlignment="1">
      <alignment horizontal="center" vertical="center"/>
    </xf>
    <xf numFmtId="0" fontId="28" fillId="7" borderId="9" xfId="0" applyFont="1" applyFill="1" applyBorder="1" applyAlignment="1">
      <alignment horizontal="center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28" fillId="7" borderId="10" xfId="0" applyFont="1" applyFill="1" applyBorder="1" applyAlignment="1">
      <alignment horizontal="center" vertical="center" wrapText="1"/>
    </xf>
    <xf numFmtId="0" fontId="27" fillId="2" borderId="41" xfId="0" applyFont="1" applyFill="1" applyBorder="1" applyAlignment="1">
      <alignment horizontal="center" vertical="center" wrapText="1"/>
    </xf>
    <xf numFmtId="0" fontId="27" fillId="2" borderId="4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8" fillId="7" borderId="9" xfId="0" applyFont="1" applyFill="1" applyBorder="1" applyAlignment="1">
      <alignment horizontal="center" vertical="top" wrapText="1"/>
    </xf>
    <xf numFmtId="0" fontId="28" fillId="7" borderId="7" xfId="0" applyFont="1" applyFill="1" applyBorder="1" applyAlignment="1">
      <alignment horizontal="center" vertical="top" wrapText="1"/>
    </xf>
    <xf numFmtId="0" fontId="28" fillId="7" borderId="10" xfId="0" applyFont="1" applyFill="1" applyBorder="1" applyAlignment="1">
      <alignment horizontal="center" vertical="top" wrapText="1"/>
    </xf>
    <xf numFmtId="0" fontId="28" fillId="7" borderId="44" xfId="0" applyFont="1" applyFill="1" applyBorder="1" applyAlignment="1">
      <alignment horizontal="center" vertical="center" wrapText="1"/>
    </xf>
    <xf numFmtId="0" fontId="28" fillId="7" borderId="47" xfId="0" applyFont="1" applyFill="1" applyBorder="1" applyAlignment="1">
      <alignment horizontal="center" vertical="center" wrapText="1"/>
    </xf>
    <xf numFmtId="0" fontId="28" fillId="7" borderId="48" xfId="0" applyFont="1" applyFill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/>
    </xf>
    <xf numFmtId="0" fontId="37" fillId="0" borderId="55" xfId="0" applyFont="1" applyBorder="1" applyAlignment="1">
      <alignment horizontal="left" vertical="center" wrapText="1"/>
    </xf>
    <xf numFmtId="0" fontId="27" fillId="0" borderId="55" xfId="0" applyFont="1" applyBorder="1" applyAlignment="1">
      <alignment horizontal="center" vertical="center"/>
    </xf>
    <xf numFmtId="1" fontId="29" fillId="0" borderId="55" xfId="0" applyNumberFormat="1" applyFont="1" applyBorder="1" applyAlignment="1">
      <alignment horizontal="center" vertical="center" shrinkToFit="1"/>
    </xf>
    <xf numFmtId="165" fontId="27" fillId="0" borderId="55" xfId="7" applyNumberFormat="1" applyFont="1" applyBorder="1" applyAlignment="1">
      <alignment horizontal="center" vertical="center"/>
    </xf>
    <xf numFmtId="165" fontId="27" fillId="0" borderId="56" xfId="7" applyNumberFormat="1" applyFont="1" applyBorder="1" applyAlignment="1">
      <alignment horizontal="center" vertical="center"/>
    </xf>
    <xf numFmtId="0" fontId="27" fillId="2" borderId="0" xfId="0" applyFont="1" applyFill="1" applyBorder="1" applyAlignment="1">
      <alignment horizontal="center" vertical="center" wrapText="1"/>
    </xf>
  </cellXfs>
  <cellStyles count="16">
    <cellStyle name="Estilo 1" xfId="8"/>
    <cellStyle name="Hiperlink" xfId="6" builtinId="8"/>
    <cellStyle name="Moeda" xfId="1" builtinId="4"/>
    <cellStyle name="Moeda 2" xfId="11"/>
    <cellStyle name="Moeda 2 2" xfId="14"/>
    <cellStyle name="Normal" xfId="0" builtinId="0"/>
    <cellStyle name="Normal 2" xfId="5"/>
    <cellStyle name="Normal 3" xfId="9"/>
    <cellStyle name="Normal 4" xfId="3"/>
    <cellStyle name="Normal 5" xfId="4"/>
    <cellStyle name="Normal 6" xfId="15"/>
    <cellStyle name="Normal 7" xfId="12"/>
    <cellStyle name="Porcentagem" xfId="2" builtinId="5"/>
    <cellStyle name="Vírgula" xfId="7" builtinId="3"/>
    <cellStyle name="Vírgula 2" xfId="10"/>
    <cellStyle name="Vírgula 2 2" xfId="13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53</v>
      </c>
    </row>
    <row r="2" spans="1:5" ht="21" x14ac:dyDescent="0.35">
      <c r="A2" s="349" t="s">
        <v>54</v>
      </c>
      <c r="B2" s="349"/>
      <c r="C2" s="349"/>
      <c r="E2" s="2" t="s">
        <v>55</v>
      </c>
    </row>
    <row r="3" spans="1:5" ht="174" customHeight="1" x14ac:dyDescent="0.3">
      <c r="A3" s="348" t="s">
        <v>56</v>
      </c>
      <c r="B3" s="348"/>
      <c r="C3" s="348"/>
      <c r="E3" s="4" t="s">
        <v>57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350" t="s">
        <v>58</v>
      </c>
      <c r="B5" s="351"/>
      <c r="C5" s="352"/>
      <c r="E5" s="7" t="s">
        <v>59</v>
      </c>
    </row>
    <row r="6" spans="1:5" ht="22.5" x14ac:dyDescent="0.25">
      <c r="A6" s="353" t="s">
        <v>60</v>
      </c>
      <c r="B6" s="353" t="s">
        <v>61</v>
      </c>
      <c r="C6" s="8" t="s">
        <v>62</v>
      </c>
      <c r="E6" s="7" t="s">
        <v>63</v>
      </c>
    </row>
    <row r="7" spans="1:5" ht="15.75" customHeight="1" thickBot="1" x14ac:dyDescent="0.3">
      <c r="A7" s="354"/>
      <c r="B7" s="354"/>
      <c r="C7" s="9" t="s">
        <v>64</v>
      </c>
      <c r="E7" s="7" t="s">
        <v>65</v>
      </c>
    </row>
    <row r="8" spans="1:5" ht="15.75" thickBot="1" x14ac:dyDescent="0.3">
      <c r="A8" s="10" t="s">
        <v>66</v>
      </c>
      <c r="B8" s="8">
        <v>30</v>
      </c>
      <c r="C8" s="8">
        <v>7</v>
      </c>
      <c r="D8">
        <f>(7/30)/12</f>
        <v>1.94444444444444E-2</v>
      </c>
      <c r="E8" s="11" t="s">
        <v>67</v>
      </c>
    </row>
    <row r="9" spans="1:5" ht="13.5" customHeight="1" x14ac:dyDescent="0.25">
      <c r="A9" s="12" t="s">
        <v>68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69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70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71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72</v>
      </c>
      <c r="B13" s="13">
        <v>45</v>
      </c>
      <c r="C13" s="13">
        <v>11</v>
      </c>
      <c r="D13">
        <f t="shared" si="0"/>
        <v>8.3333333333333297E-3</v>
      </c>
      <c r="E13" t="s">
        <v>94</v>
      </c>
    </row>
    <row r="14" spans="1:5" x14ac:dyDescent="0.25">
      <c r="A14" s="12" t="s">
        <v>73</v>
      </c>
      <c r="B14" s="13">
        <v>48</v>
      </c>
      <c r="C14" s="13">
        <v>11</v>
      </c>
      <c r="E14" t="s">
        <v>52</v>
      </c>
    </row>
    <row r="15" spans="1:5" x14ac:dyDescent="0.25">
      <c r="A15" s="12" t="s">
        <v>74</v>
      </c>
      <c r="B15" s="13">
        <v>51</v>
      </c>
      <c r="C15" s="13">
        <v>12</v>
      </c>
    </row>
    <row r="16" spans="1:5" x14ac:dyDescent="0.25">
      <c r="A16" s="12" t="s">
        <v>75</v>
      </c>
      <c r="B16" s="13">
        <v>54</v>
      </c>
      <c r="C16" s="13">
        <v>13</v>
      </c>
    </row>
    <row r="17" spans="1:5" x14ac:dyDescent="0.25">
      <c r="A17" s="12" t="s">
        <v>76</v>
      </c>
      <c r="B17" s="13">
        <v>57</v>
      </c>
      <c r="C17" s="13">
        <v>13</v>
      </c>
    </row>
    <row r="18" spans="1:5" x14ac:dyDescent="0.25">
      <c r="A18" s="12" t="s">
        <v>77</v>
      </c>
      <c r="B18" s="13">
        <v>60</v>
      </c>
      <c r="C18" s="13">
        <v>14</v>
      </c>
    </row>
    <row r="19" spans="1:5" x14ac:dyDescent="0.25">
      <c r="A19" s="12" t="s">
        <v>78</v>
      </c>
      <c r="B19" s="13">
        <v>63</v>
      </c>
      <c r="C19" s="13">
        <v>15</v>
      </c>
    </row>
    <row r="20" spans="1:5" x14ac:dyDescent="0.25">
      <c r="A20" s="12" t="s">
        <v>79</v>
      </c>
      <c r="B20" s="13">
        <v>66</v>
      </c>
      <c r="C20" s="13">
        <v>15</v>
      </c>
    </row>
    <row r="21" spans="1:5" x14ac:dyDescent="0.25">
      <c r="A21" s="12" t="s">
        <v>80</v>
      </c>
      <c r="B21" s="13">
        <v>69</v>
      </c>
      <c r="C21" s="13">
        <v>16</v>
      </c>
    </row>
    <row r="22" spans="1:5" x14ac:dyDescent="0.25">
      <c r="A22" s="12" t="s">
        <v>81</v>
      </c>
      <c r="B22" s="13">
        <v>72</v>
      </c>
      <c r="C22" s="13">
        <v>17</v>
      </c>
    </row>
    <row r="23" spans="1:5" x14ac:dyDescent="0.25">
      <c r="A23" s="12" t="s">
        <v>82</v>
      </c>
      <c r="B23" s="13">
        <v>75</v>
      </c>
      <c r="C23" s="13">
        <v>18</v>
      </c>
    </row>
    <row r="24" spans="1:5" x14ac:dyDescent="0.25">
      <c r="A24" s="12" t="s">
        <v>83</v>
      </c>
      <c r="B24" s="13">
        <v>78</v>
      </c>
      <c r="C24" s="13">
        <v>18</v>
      </c>
    </row>
    <row r="25" spans="1:5" x14ac:dyDescent="0.25">
      <c r="A25" s="12" t="s">
        <v>84</v>
      </c>
      <c r="B25" s="13">
        <v>81</v>
      </c>
      <c r="C25" s="13">
        <v>19</v>
      </c>
    </row>
    <row r="26" spans="1:5" x14ac:dyDescent="0.25">
      <c r="A26" s="12" t="s">
        <v>85</v>
      </c>
      <c r="B26" s="13">
        <v>84</v>
      </c>
      <c r="C26" s="13">
        <v>20</v>
      </c>
    </row>
    <row r="27" spans="1:5" x14ac:dyDescent="0.25">
      <c r="A27" s="12" t="s">
        <v>86</v>
      </c>
      <c r="B27" s="13">
        <v>87</v>
      </c>
      <c r="C27" s="13">
        <v>20</v>
      </c>
    </row>
    <row r="28" spans="1:5" ht="15.75" thickBot="1" x14ac:dyDescent="0.3">
      <c r="A28" s="16" t="s">
        <v>87</v>
      </c>
      <c r="B28" s="9">
        <v>90</v>
      </c>
      <c r="C28" s="9">
        <v>21</v>
      </c>
      <c r="E28" s="17" t="s">
        <v>88</v>
      </c>
    </row>
    <row r="29" spans="1:5" ht="18.75" x14ac:dyDescent="0.3">
      <c r="A29" s="5"/>
    </row>
    <row r="30" spans="1:5" ht="145.5" customHeight="1" x14ac:dyDescent="0.3">
      <c r="A30" s="355" t="s">
        <v>89</v>
      </c>
      <c r="B30" s="355"/>
      <c r="C30" s="355"/>
    </row>
    <row r="31" spans="1:5" ht="18.75" x14ac:dyDescent="0.3">
      <c r="A31" s="5"/>
    </row>
    <row r="32" spans="1:5" ht="18.75" x14ac:dyDescent="0.3">
      <c r="A32" s="18" t="s">
        <v>90</v>
      </c>
    </row>
    <row r="33" spans="1:3" ht="18.75" x14ac:dyDescent="0.3">
      <c r="A33" s="5"/>
    </row>
    <row r="34" spans="1:3" x14ac:dyDescent="0.25">
      <c r="A34" s="348" t="s">
        <v>91</v>
      </c>
      <c r="B34" s="348"/>
      <c r="C34" s="348"/>
    </row>
    <row r="35" spans="1:3" x14ac:dyDescent="0.25">
      <c r="A35" s="348"/>
      <c r="B35" s="348"/>
      <c r="C35" s="348"/>
    </row>
    <row r="36" spans="1:3" x14ac:dyDescent="0.25">
      <c r="A36" s="348" t="s">
        <v>92</v>
      </c>
      <c r="B36" s="348"/>
      <c r="C36" s="348"/>
    </row>
    <row r="37" spans="1:3" x14ac:dyDescent="0.25">
      <c r="A37" s="348"/>
      <c r="B37" s="348"/>
      <c r="C37" s="348"/>
    </row>
    <row r="40" spans="1:3" x14ac:dyDescent="0.25">
      <c r="A40" s="19" t="s">
        <v>93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95" zoomScaleNormal="115" zoomScaleSheetLayoutView="100" workbookViewId="0">
      <selection activeCell="A24" sqref="A24:H24"/>
    </sheetView>
  </sheetViews>
  <sheetFormatPr defaultColWidth="9.140625" defaultRowHeight="15.75" x14ac:dyDescent="0.25"/>
  <cols>
    <col min="1" max="1" width="4.42578125" style="29" bestFit="1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433"/>
      <c r="B1" s="434"/>
      <c r="C1" s="434"/>
      <c r="D1" s="487"/>
      <c r="E1" s="435"/>
    </row>
    <row r="2" spans="1:5" s="38" customFormat="1" ht="16.5" customHeight="1" x14ac:dyDescent="0.25">
      <c r="A2" s="407" t="s">
        <v>132</v>
      </c>
      <c r="B2" s="408"/>
      <c r="C2" s="408"/>
      <c r="D2" s="488"/>
      <c r="E2" s="409"/>
    </row>
    <row r="3" spans="1:5" s="38" customFormat="1" x14ac:dyDescent="0.25">
      <c r="A3" s="404" t="s">
        <v>129</v>
      </c>
      <c r="B3" s="405"/>
      <c r="C3" s="405"/>
      <c r="D3" s="482"/>
      <c r="E3" s="406"/>
    </row>
    <row r="4" spans="1:5" s="38" customFormat="1" ht="15" customHeight="1" x14ac:dyDescent="0.25">
      <c r="A4" s="40" t="s">
        <v>0</v>
      </c>
      <c r="B4" s="41" t="s">
        <v>1</v>
      </c>
      <c r="C4" s="436">
        <v>2024</v>
      </c>
      <c r="D4" s="436"/>
      <c r="E4" s="437"/>
    </row>
    <row r="5" spans="1:5" s="38" customFormat="1" ht="75" customHeight="1" x14ac:dyDescent="0.25">
      <c r="A5" s="40" t="s">
        <v>2</v>
      </c>
      <c r="B5" s="41" t="s">
        <v>140</v>
      </c>
      <c r="C5" s="438" t="s">
        <v>258</v>
      </c>
      <c r="D5" s="438"/>
      <c r="E5" s="439"/>
    </row>
    <row r="6" spans="1:5" s="38" customFormat="1" ht="15.75" customHeight="1" x14ac:dyDescent="0.25">
      <c r="A6" s="40" t="s">
        <v>3</v>
      </c>
      <c r="B6" s="41" t="s">
        <v>4</v>
      </c>
      <c r="C6" s="438"/>
      <c r="D6" s="438"/>
      <c r="E6" s="439"/>
    </row>
    <row r="7" spans="1:5" s="38" customFormat="1" x14ac:dyDescent="0.25">
      <c r="A7" s="40" t="s">
        <v>5</v>
      </c>
      <c r="B7" s="41" t="s">
        <v>143</v>
      </c>
      <c r="C7" s="438">
        <v>12</v>
      </c>
      <c r="D7" s="438"/>
      <c r="E7" s="439"/>
    </row>
    <row r="8" spans="1:5" s="38" customFormat="1" x14ac:dyDescent="0.25">
      <c r="A8" s="404" t="s">
        <v>6</v>
      </c>
      <c r="B8" s="405"/>
      <c r="C8" s="405"/>
      <c r="D8" s="482"/>
      <c r="E8" s="406"/>
    </row>
    <row r="9" spans="1:5" s="38" customFormat="1" x14ac:dyDescent="0.25">
      <c r="A9" s="404" t="s">
        <v>7</v>
      </c>
      <c r="B9" s="405"/>
      <c r="C9" s="405"/>
      <c r="D9" s="482"/>
      <c r="E9" s="406"/>
    </row>
    <row r="10" spans="1:5" s="38" customFormat="1" ht="15.75" customHeight="1" x14ac:dyDescent="0.25">
      <c r="A10" s="404" t="s">
        <v>8</v>
      </c>
      <c r="B10" s="405"/>
      <c r="C10" s="405"/>
      <c r="D10" s="482"/>
      <c r="E10" s="406"/>
    </row>
    <row r="11" spans="1:5" s="38" customFormat="1" ht="30" customHeight="1" x14ac:dyDescent="0.25">
      <c r="A11" s="440" t="s">
        <v>9</v>
      </c>
      <c r="B11" s="441"/>
      <c r="C11" s="441"/>
      <c r="D11" s="485" t="s">
        <v>10</v>
      </c>
      <c r="E11" s="486"/>
    </row>
    <row r="12" spans="1:5" s="38" customFormat="1" ht="60" customHeight="1" x14ac:dyDescent="0.25">
      <c r="A12" s="40">
        <v>1</v>
      </c>
      <c r="B12" s="42" t="s">
        <v>133</v>
      </c>
      <c r="C12" s="445" t="s">
        <v>259</v>
      </c>
      <c r="D12" s="445"/>
      <c r="E12" s="446"/>
    </row>
    <row r="13" spans="1:5" s="38" customFormat="1" ht="30" customHeight="1" x14ac:dyDescent="0.25">
      <c r="A13" s="40">
        <v>2</v>
      </c>
      <c r="B13" s="42" t="s">
        <v>11</v>
      </c>
      <c r="C13" s="497">
        <f>(13581.68+(13581.68*10.18%)+(14964.25*8.9%)+(16296.07*6.97%))</f>
        <v>17431.95</v>
      </c>
      <c r="D13" s="498"/>
      <c r="E13" s="499"/>
    </row>
    <row r="14" spans="1:5" s="38" customFormat="1" ht="15.75" customHeight="1" x14ac:dyDescent="0.25">
      <c r="A14" s="40">
        <v>3</v>
      </c>
      <c r="B14" s="42" t="s">
        <v>12</v>
      </c>
      <c r="C14" s="445" t="s">
        <v>262</v>
      </c>
      <c r="D14" s="445"/>
      <c r="E14" s="446"/>
    </row>
    <row r="15" spans="1:5" s="38" customFormat="1" x14ac:dyDescent="0.25">
      <c r="A15" s="40">
        <v>4</v>
      </c>
      <c r="B15" s="43" t="s">
        <v>13</v>
      </c>
      <c r="C15" s="450"/>
      <c r="D15" s="390"/>
      <c r="E15" s="451"/>
    </row>
    <row r="16" spans="1:5" s="39" customFormat="1" ht="31.5" x14ac:dyDescent="0.25">
      <c r="A16" s="402" t="s">
        <v>14</v>
      </c>
      <c r="B16" s="403"/>
      <c r="C16" s="403"/>
      <c r="D16" s="301" t="s">
        <v>265</v>
      </c>
      <c r="E16" s="306" t="s">
        <v>266</v>
      </c>
    </row>
    <row r="17" spans="1:5" s="39" customFormat="1" x14ac:dyDescent="0.25">
      <c r="A17" s="304">
        <v>1</v>
      </c>
      <c r="B17" s="420" t="s">
        <v>15</v>
      </c>
      <c r="C17" s="420"/>
      <c r="D17" s="61" t="s">
        <v>10</v>
      </c>
      <c r="E17" s="134" t="s">
        <v>10</v>
      </c>
    </row>
    <row r="18" spans="1:5" s="38" customFormat="1" ht="15.75" customHeight="1" x14ac:dyDescent="0.25">
      <c r="A18" s="45" t="s">
        <v>0</v>
      </c>
      <c r="B18" s="46" t="s">
        <v>16</v>
      </c>
      <c r="C18" s="43"/>
      <c r="D18" s="81">
        <f>C13</f>
        <v>17431.95</v>
      </c>
      <c r="E18" s="129">
        <f>C13</f>
        <v>17431.95</v>
      </c>
    </row>
    <row r="19" spans="1:5" s="38" customFormat="1" ht="15.75" customHeight="1" x14ac:dyDescent="0.25">
      <c r="A19" s="45" t="s">
        <v>2</v>
      </c>
      <c r="B19" s="46" t="s">
        <v>17</v>
      </c>
      <c r="C19" s="82"/>
      <c r="D19" s="83"/>
      <c r="E19" s="135"/>
    </row>
    <row r="20" spans="1:5" s="38" customFormat="1" ht="15.75" customHeight="1" x14ac:dyDescent="0.25">
      <c r="A20" s="45" t="s">
        <v>3</v>
      </c>
      <c r="B20" s="46" t="s">
        <v>18</v>
      </c>
      <c r="C20" s="116" t="s">
        <v>243</v>
      </c>
      <c r="D20" s="83">
        <f>40%*1412</f>
        <v>564.79999999999995</v>
      </c>
      <c r="E20" s="135">
        <f>40%*1412</f>
        <v>564.79999999999995</v>
      </c>
    </row>
    <row r="21" spans="1:5" s="38" customFormat="1" ht="15.75" customHeight="1" x14ac:dyDescent="0.25">
      <c r="A21" s="45" t="s">
        <v>5</v>
      </c>
      <c r="B21" s="46" t="s">
        <v>19</v>
      </c>
      <c r="C21" s="82"/>
      <c r="D21" s="83"/>
      <c r="E21" s="135"/>
    </row>
    <row r="22" spans="1:5" s="38" customFormat="1" ht="15.75" customHeight="1" x14ac:dyDescent="0.25">
      <c r="A22" s="45" t="s">
        <v>20</v>
      </c>
      <c r="B22" s="46" t="s">
        <v>204</v>
      </c>
      <c r="C22" s="82"/>
      <c r="D22" s="83"/>
      <c r="E22" s="135"/>
    </row>
    <row r="23" spans="1:5" s="38" customFormat="1" x14ac:dyDescent="0.25">
      <c r="A23" s="45" t="s">
        <v>21</v>
      </c>
      <c r="B23" s="46" t="s">
        <v>138</v>
      </c>
      <c r="C23" s="49"/>
      <c r="D23" s="83"/>
      <c r="E23" s="135"/>
    </row>
    <row r="24" spans="1:5" s="38" customFormat="1" ht="15.75" customHeight="1" x14ac:dyDescent="0.25">
      <c r="A24" s="45" t="s">
        <v>22</v>
      </c>
      <c r="B24" s="47" t="s">
        <v>139</v>
      </c>
      <c r="C24" s="49"/>
      <c r="D24" s="83"/>
      <c r="E24" s="135"/>
    </row>
    <row r="25" spans="1:5" s="39" customFormat="1" ht="15.75" customHeight="1" x14ac:dyDescent="0.25">
      <c r="A25" s="400" t="s">
        <v>152</v>
      </c>
      <c r="B25" s="401"/>
      <c r="C25" s="401"/>
      <c r="D25" s="70">
        <f>SUM(D18:D24)</f>
        <v>17996.75</v>
      </c>
      <c r="E25" s="136">
        <f>SUM(E18:E24)</f>
        <v>17996.75</v>
      </c>
    </row>
    <row r="26" spans="1:5" s="39" customFormat="1" x14ac:dyDescent="0.25">
      <c r="A26" s="402" t="s">
        <v>51</v>
      </c>
      <c r="B26" s="403"/>
      <c r="C26" s="403"/>
      <c r="D26" s="221"/>
      <c r="E26" s="178"/>
    </row>
    <row r="27" spans="1:5" s="38" customFormat="1" x14ac:dyDescent="0.25">
      <c r="A27" s="302">
        <v>2</v>
      </c>
      <c r="B27" s="396" t="s">
        <v>205</v>
      </c>
      <c r="C27" s="412"/>
      <c r="D27" s="74" t="s">
        <v>10</v>
      </c>
      <c r="E27" s="138" t="s">
        <v>10</v>
      </c>
    </row>
    <row r="28" spans="1:5" s="38" customFormat="1" x14ac:dyDescent="0.25">
      <c r="A28" s="50" t="s">
        <v>0</v>
      </c>
      <c r="B28" s="51" t="s">
        <v>28</v>
      </c>
      <c r="C28" s="59">
        <f>1/12</f>
        <v>8.3299999999999999E-2</v>
      </c>
      <c r="D28" s="84">
        <f>(D25)*C28</f>
        <v>1499.13</v>
      </c>
      <c r="E28" s="130">
        <f>(E25)*C28</f>
        <v>1499.13</v>
      </c>
    </row>
    <row r="29" spans="1:5" s="38" customFormat="1" x14ac:dyDescent="0.25">
      <c r="A29" s="50" t="s">
        <v>2</v>
      </c>
      <c r="B29" s="51" t="s">
        <v>148</v>
      </c>
      <c r="C29" s="59">
        <v>0.1111</v>
      </c>
      <c r="D29" s="84">
        <f>(D25)*C29</f>
        <v>1999.44</v>
      </c>
      <c r="E29" s="130">
        <f>(E25)*C29</f>
        <v>1999.44</v>
      </c>
    </row>
    <row r="30" spans="1:5" x14ac:dyDescent="0.25">
      <c r="A30" s="418" t="s">
        <v>27</v>
      </c>
      <c r="B30" s="419"/>
      <c r="C30" s="99">
        <f>SUM(C28:C29)</f>
        <v>0.19439999999999999</v>
      </c>
      <c r="D30" s="86">
        <f>SUM(D28:D29)</f>
        <v>3498.57</v>
      </c>
      <c r="E30" s="131">
        <f>SUM(E28:E29)</f>
        <v>3498.57</v>
      </c>
    </row>
    <row r="31" spans="1:5" ht="32.25" customHeight="1" x14ac:dyDescent="0.25">
      <c r="A31" s="469" t="s">
        <v>206</v>
      </c>
      <c r="B31" s="470"/>
      <c r="C31" s="470"/>
      <c r="D31" s="481"/>
      <c r="E31" s="471"/>
    </row>
    <row r="32" spans="1:5" x14ac:dyDescent="0.25">
      <c r="A32" s="300" t="s">
        <v>215</v>
      </c>
      <c r="B32" s="413" t="s">
        <v>25</v>
      </c>
      <c r="C32" s="414"/>
      <c r="D32" s="75" t="s">
        <v>10</v>
      </c>
      <c r="E32" s="137" t="s">
        <v>10</v>
      </c>
    </row>
    <row r="33" spans="1:5" x14ac:dyDescent="0.25">
      <c r="A33" s="50" t="s">
        <v>0</v>
      </c>
      <c r="B33" s="87" t="s">
        <v>207</v>
      </c>
      <c r="C33" s="59">
        <v>0.2</v>
      </c>
      <c r="D33" s="84">
        <f>(D25+D30)*C33</f>
        <v>4299.0600000000004</v>
      </c>
      <c r="E33" s="130">
        <f>(E25+E30)*C33</f>
        <v>4299.0600000000004</v>
      </c>
    </row>
    <row r="34" spans="1:5" x14ac:dyDescent="0.25">
      <c r="A34" s="50" t="s">
        <v>2</v>
      </c>
      <c r="B34" s="87" t="s">
        <v>208</v>
      </c>
      <c r="C34" s="88">
        <v>1.4999999999999999E-2</v>
      </c>
      <c r="D34" s="84">
        <f>(D25+D30)*C34</f>
        <v>322.43</v>
      </c>
      <c r="E34" s="130">
        <f>(E25+E30)*C34</f>
        <v>322.43</v>
      </c>
    </row>
    <row r="35" spans="1:5" x14ac:dyDescent="0.25">
      <c r="A35" s="50" t="s">
        <v>3</v>
      </c>
      <c r="B35" s="87" t="s">
        <v>209</v>
      </c>
      <c r="C35" s="88">
        <v>0.01</v>
      </c>
      <c r="D35" s="84">
        <f>(D25+D30)*C35</f>
        <v>214.95</v>
      </c>
      <c r="E35" s="130">
        <f>(E25+E30)*C35</f>
        <v>214.95</v>
      </c>
    </row>
    <row r="36" spans="1:5" ht="31.5" x14ac:dyDescent="0.25">
      <c r="A36" s="50" t="s">
        <v>5</v>
      </c>
      <c r="B36" s="299" t="s">
        <v>210</v>
      </c>
      <c r="C36" s="88">
        <v>2E-3</v>
      </c>
      <c r="D36" s="84">
        <f>(D25+D30)*C36</f>
        <v>42.99</v>
      </c>
      <c r="E36" s="130">
        <f>(E25+E30)*C36</f>
        <v>42.99</v>
      </c>
    </row>
    <row r="37" spans="1:5" x14ac:dyDescent="0.25">
      <c r="A37" s="50" t="s">
        <v>20</v>
      </c>
      <c r="B37" s="87" t="s">
        <v>211</v>
      </c>
      <c r="C37" s="88">
        <v>2.5000000000000001E-2</v>
      </c>
      <c r="D37" s="84">
        <f>(D25+D30)*C37</f>
        <v>537.38</v>
      </c>
      <c r="E37" s="130">
        <f>(E25+E30)*C37</f>
        <v>537.38</v>
      </c>
    </row>
    <row r="38" spans="1:5" x14ac:dyDescent="0.25">
      <c r="A38" s="50" t="s">
        <v>21</v>
      </c>
      <c r="B38" s="115" t="s">
        <v>212</v>
      </c>
      <c r="C38" s="88">
        <v>0.08</v>
      </c>
      <c r="D38" s="84">
        <f>(D25+D30)*C38</f>
        <v>1719.63</v>
      </c>
      <c r="E38" s="130">
        <f>(E25+E30)*C38</f>
        <v>1719.63</v>
      </c>
    </row>
    <row r="39" spans="1:5" ht="30.75" customHeight="1" x14ac:dyDescent="0.25">
      <c r="A39" s="50" t="s">
        <v>22</v>
      </c>
      <c r="B39" s="299" t="s">
        <v>213</v>
      </c>
      <c r="C39" s="88">
        <v>0.03</v>
      </c>
      <c r="D39" s="84">
        <f>(D25+D30)*C39</f>
        <v>644.86</v>
      </c>
      <c r="E39" s="130">
        <f>(E25+E30)*C39</f>
        <v>644.86</v>
      </c>
    </row>
    <row r="40" spans="1:5" x14ac:dyDescent="0.25">
      <c r="A40" s="50" t="s">
        <v>26</v>
      </c>
      <c r="B40" s="114" t="s">
        <v>214</v>
      </c>
      <c r="C40" s="88">
        <v>6.0000000000000001E-3</v>
      </c>
      <c r="D40" s="84">
        <f>(D25+D30)*C40</f>
        <v>128.97</v>
      </c>
      <c r="E40" s="130">
        <f>(E25+E30)*C40</f>
        <v>128.97</v>
      </c>
    </row>
    <row r="41" spans="1:5" s="30" customFormat="1" x14ac:dyDescent="0.25">
      <c r="A41" s="418" t="s">
        <v>27</v>
      </c>
      <c r="B41" s="419"/>
      <c r="C41" s="60">
        <f>SUM(C33:C40)</f>
        <v>0.36799999999999999</v>
      </c>
      <c r="D41" s="86">
        <f>SUM(D33:D40)</f>
        <v>7910.27</v>
      </c>
      <c r="E41" s="131">
        <f>SUM(E33:E40)</f>
        <v>7910.27</v>
      </c>
    </row>
    <row r="42" spans="1:5" s="30" customFormat="1" x14ac:dyDescent="0.25">
      <c r="A42" s="80" t="s">
        <v>216</v>
      </c>
      <c r="B42" s="427" t="s">
        <v>217</v>
      </c>
      <c r="C42" s="428"/>
      <c r="D42" s="112" t="s">
        <v>10</v>
      </c>
      <c r="E42" s="145" t="s">
        <v>10</v>
      </c>
    </row>
    <row r="43" spans="1:5" s="30" customFormat="1" x14ac:dyDescent="0.25">
      <c r="A43" s="98" t="s">
        <v>0</v>
      </c>
      <c r="B43" s="56" t="s">
        <v>144</v>
      </c>
      <c r="C43" s="113"/>
      <c r="D43" s="83">
        <v>0</v>
      </c>
      <c r="E43" s="64">
        <v>0</v>
      </c>
    </row>
    <row r="44" spans="1:5" s="30" customFormat="1" x14ac:dyDescent="0.25">
      <c r="A44" s="48" t="s">
        <v>2</v>
      </c>
      <c r="B44" s="47" t="s">
        <v>218</v>
      </c>
      <c r="C44" s="79"/>
      <c r="D44" s="83">
        <v>0</v>
      </c>
      <c r="E44" s="64">
        <v>0</v>
      </c>
    </row>
    <row r="45" spans="1:5" s="30" customFormat="1" x14ac:dyDescent="0.25">
      <c r="A45" s="50" t="s">
        <v>5</v>
      </c>
      <c r="B45" s="51" t="s">
        <v>134</v>
      </c>
      <c r="C45" s="90"/>
      <c r="D45" s="83">
        <v>0</v>
      </c>
      <c r="E45" s="64">
        <v>0</v>
      </c>
    </row>
    <row r="46" spans="1:5" s="30" customFormat="1" x14ac:dyDescent="0.25">
      <c r="A46" s="50" t="s">
        <v>20</v>
      </c>
      <c r="B46" s="51" t="s">
        <v>135</v>
      </c>
      <c r="C46" s="59"/>
      <c r="D46" s="83">
        <v>0</v>
      </c>
      <c r="E46" s="64">
        <v>0</v>
      </c>
    </row>
    <row r="47" spans="1:5" s="30" customFormat="1" x14ac:dyDescent="0.25">
      <c r="A47" s="50" t="s">
        <v>21</v>
      </c>
      <c r="B47" s="51" t="s">
        <v>136</v>
      </c>
      <c r="C47" s="90"/>
      <c r="D47" s="83">
        <v>0</v>
      </c>
      <c r="E47" s="64">
        <v>0</v>
      </c>
    </row>
    <row r="48" spans="1:5" s="30" customFormat="1" ht="15.75" customHeight="1" x14ac:dyDescent="0.25">
      <c r="A48" s="418" t="s">
        <v>23</v>
      </c>
      <c r="B48" s="419"/>
      <c r="C48" s="419"/>
      <c r="D48" s="86">
        <f>SUM(D43:D47)</f>
        <v>0</v>
      </c>
      <c r="E48" s="131">
        <f>SUM(E43:E47)</f>
        <v>0</v>
      </c>
    </row>
    <row r="49" spans="1:5" s="30" customFormat="1" ht="15.75" customHeight="1" x14ac:dyDescent="0.25">
      <c r="A49" s="402" t="s">
        <v>151</v>
      </c>
      <c r="B49" s="403"/>
      <c r="C49" s="403"/>
      <c r="D49" s="476"/>
      <c r="E49" s="472"/>
    </row>
    <row r="50" spans="1:5" s="30" customFormat="1" ht="15.75" customHeight="1" x14ac:dyDescent="0.25">
      <c r="A50" s="304" t="s">
        <v>141</v>
      </c>
      <c r="B50" s="104" t="s">
        <v>145</v>
      </c>
      <c r="C50" s="305"/>
      <c r="D50" s="69">
        <f>D30</f>
        <v>3498.57</v>
      </c>
      <c r="E50" s="139">
        <f>E30</f>
        <v>3498.57</v>
      </c>
    </row>
    <row r="51" spans="1:5" s="30" customFormat="1" ht="15.75" customHeight="1" x14ac:dyDescent="0.25">
      <c r="A51" s="304" t="s">
        <v>215</v>
      </c>
      <c r="B51" s="104" t="s">
        <v>146</v>
      </c>
      <c r="C51" s="305"/>
      <c r="D51" s="69">
        <f>D41</f>
        <v>7910.27</v>
      </c>
      <c r="E51" s="139">
        <f>E41</f>
        <v>7910.27</v>
      </c>
    </row>
    <row r="52" spans="1:5" s="30" customFormat="1" ht="15.75" customHeight="1" x14ac:dyDescent="0.25">
      <c r="A52" s="304" t="s">
        <v>216</v>
      </c>
      <c r="B52" s="104" t="s">
        <v>147</v>
      </c>
      <c r="C52" s="305"/>
      <c r="D52" s="69">
        <f>D48</f>
        <v>0</v>
      </c>
      <c r="E52" s="139">
        <f>E48</f>
        <v>0</v>
      </c>
    </row>
    <row r="53" spans="1:5" s="30" customFormat="1" ht="15.75" customHeight="1" x14ac:dyDescent="0.25">
      <c r="A53" s="400" t="s">
        <v>153</v>
      </c>
      <c r="B53" s="401"/>
      <c r="C53" s="401"/>
      <c r="D53" s="70">
        <f>SUM(D50:D52)</f>
        <v>11408.84</v>
      </c>
      <c r="E53" s="136">
        <f>SUM(E50:E52)</f>
        <v>11408.84</v>
      </c>
    </row>
    <row r="54" spans="1:5" s="30" customFormat="1" ht="15.75" customHeight="1" x14ac:dyDescent="0.25">
      <c r="A54" s="402" t="s">
        <v>162</v>
      </c>
      <c r="B54" s="403"/>
      <c r="C54" s="403"/>
      <c r="D54" s="476"/>
      <c r="E54" s="472"/>
    </row>
    <row r="55" spans="1:5" s="30" customFormat="1" ht="15.75" customHeight="1" x14ac:dyDescent="0.25">
      <c r="A55" s="302" t="s">
        <v>200</v>
      </c>
      <c r="B55" s="396" t="s">
        <v>32</v>
      </c>
      <c r="C55" s="397"/>
      <c r="D55" s="74" t="s">
        <v>10</v>
      </c>
      <c r="E55" s="138" t="s">
        <v>10</v>
      </c>
    </row>
    <row r="56" spans="1:5" s="30" customFormat="1" ht="15.75" customHeight="1" x14ac:dyDescent="0.25">
      <c r="A56" s="50" t="s">
        <v>0</v>
      </c>
      <c r="B56" s="51" t="s">
        <v>33</v>
      </c>
      <c r="C56" s="59">
        <v>4.5999999999999999E-3</v>
      </c>
      <c r="D56" s="84">
        <f>D$25*C56</f>
        <v>82.79</v>
      </c>
      <c r="E56" s="130">
        <f>E$25*C56</f>
        <v>82.79</v>
      </c>
    </row>
    <row r="57" spans="1:5" s="30" customFormat="1" ht="15.75" customHeight="1" x14ac:dyDescent="0.25">
      <c r="A57" s="50" t="s">
        <v>2</v>
      </c>
      <c r="B57" s="51" t="s">
        <v>34</v>
      </c>
      <c r="C57" s="59">
        <v>4.0000000000000002E-4</v>
      </c>
      <c r="D57" s="84">
        <f>D$25*C57</f>
        <v>7.2</v>
      </c>
      <c r="E57" s="130">
        <f>E$25*C57</f>
        <v>7.2</v>
      </c>
    </row>
    <row r="58" spans="1:5" s="30" customFormat="1" ht="15.75" customHeight="1" x14ac:dyDescent="0.25">
      <c r="A58" s="50" t="s">
        <v>3</v>
      </c>
      <c r="B58" s="51" t="s">
        <v>35</v>
      </c>
      <c r="C58" s="59">
        <v>1.9400000000000001E-2</v>
      </c>
      <c r="D58" s="84">
        <f>D$25*C58</f>
        <v>349.14</v>
      </c>
      <c r="E58" s="130">
        <f>E$25*C58</f>
        <v>349.14</v>
      </c>
    </row>
    <row r="59" spans="1:5" s="30" customFormat="1" ht="15.75" customHeight="1" x14ac:dyDescent="0.25">
      <c r="A59" s="50" t="s">
        <v>5</v>
      </c>
      <c r="B59" s="105" t="s">
        <v>174</v>
      </c>
      <c r="C59" s="59">
        <v>7.1000000000000004E-3</v>
      </c>
      <c r="D59" s="84">
        <f>D$25*C59</f>
        <v>127.78</v>
      </c>
      <c r="E59" s="130">
        <f>E$25*C59</f>
        <v>127.78</v>
      </c>
    </row>
    <row r="60" spans="1:5" s="30" customFormat="1" ht="32.25" customHeight="1" x14ac:dyDescent="0.25">
      <c r="A60" s="50" t="s">
        <v>20</v>
      </c>
      <c r="B60" s="51" t="s">
        <v>219</v>
      </c>
      <c r="C60" s="59">
        <v>0.04</v>
      </c>
      <c r="D60" s="84">
        <f>D$25*C60</f>
        <v>719.87</v>
      </c>
      <c r="E60" s="130">
        <f>E$25*C60</f>
        <v>719.87</v>
      </c>
    </row>
    <row r="61" spans="1:5" s="30" customFormat="1" x14ac:dyDescent="0.25">
      <c r="A61" s="400" t="s">
        <v>154</v>
      </c>
      <c r="B61" s="401"/>
      <c r="C61" s="401"/>
      <c r="D61" s="70">
        <f>SUM(D56:D60)</f>
        <v>1286.78</v>
      </c>
      <c r="E61" s="136">
        <f>SUM(E56:E60)</f>
        <v>1286.78</v>
      </c>
    </row>
    <row r="62" spans="1:5" s="30" customFormat="1" x14ac:dyDescent="0.25">
      <c r="A62" s="402" t="s">
        <v>163</v>
      </c>
      <c r="B62" s="403"/>
      <c r="C62" s="403"/>
      <c r="D62" s="476"/>
      <c r="E62" s="472"/>
    </row>
    <row r="63" spans="1:5" s="30" customFormat="1" x14ac:dyDescent="0.25">
      <c r="A63" s="302" t="s">
        <v>199</v>
      </c>
      <c r="B63" s="430" t="s">
        <v>36</v>
      </c>
      <c r="C63" s="430"/>
      <c r="D63" s="74" t="s">
        <v>10</v>
      </c>
      <c r="E63" s="138" t="s">
        <v>10</v>
      </c>
    </row>
    <row r="64" spans="1:5" s="30" customFormat="1" x14ac:dyDescent="0.25">
      <c r="A64" s="50" t="s">
        <v>0</v>
      </c>
      <c r="B64" s="51" t="s">
        <v>192</v>
      </c>
      <c r="C64" s="59">
        <v>9.2999999999999992E-3</v>
      </c>
      <c r="D64" s="84">
        <f>(D$25+D$53+D$61+D$84)*C64</f>
        <v>285.77999999999997</v>
      </c>
      <c r="E64" s="130">
        <f>(E$25+E$53+E$61+E$84)*C64</f>
        <v>285.77999999999997</v>
      </c>
    </row>
    <row r="65" spans="1:5" s="30" customFormat="1" x14ac:dyDescent="0.25">
      <c r="A65" s="50" t="s">
        <v>2</v>
      </c>
      <c r="B65" s="51" t="s">
        <v>193</v>
      </c>
      <c r="C65" s="59">
        <v>1.66E-2</v>
      </c>
      <c r="D65" s="84">
        <f t="shared" ref="D65:D69" si="0">(D$25+D$53+D$61+D$84)*C65</f>
        <v>510.1</v>
      </c>
      <c r="E65" s="130">
        <f t="shared" ref="E65:E69" si="1">(E$25+E$53+E$61+E$84)*C65</f>
        <v>510.1</v>
      </c>
    </row>
    <row r="66" spans="1:5" s="30" customFormat="1" x14ac:dyDescent="0.25">
      <c r="A66" s="50" t="s">
        <v>3</v>
      </c>
      <c r="B66" s="51" t="s">
        <v>194</v>
      </c>
      <c r="C66" s="59">
        <v>2.0000000000000001E-4</v>
      </c>
      <c r="D66" s="84">
        <f t="shared" si="0"/>
        <v>6.15</v>
      </c>
      <c r="E66" s="130">
        <f t="shared" si="1"/>
        <v>6.15</v>
      </c>
    </row>
    <row r="67" spans="1:5" s="30" customFormat="1" x14ac:dyDescent="0.25">
      <c r="A67" s="50" t="s">
        <v>5</v>
      </c>
      <c r="B67" s="51" t="s">
        <v>195</v>
      </c>
      <c r="C67" s="59">
        <v>2.7000000000000001E-3</v>
      </c>
      <c r="D67" s="84">
        <f t="shared" si="0"/>
        <v>82.97</v>
      </c>
      <c r="E67" s="130">
        <f t="shared" si="1"/>
        <v>82.97</v>
      </c>
    </row>
    <row r="68" spans="1:5" s="30" customFormat="1" x14ac:dyDescent="0.25">
      <c r="A68" s="50" t="s">
        <v>20</v>
      </c>
      <c r="B68" s="51" t="s">
        <v>196</v>
      </c>
      <c r="C68" s="59">
        <v>2.9999999999999997E-4</v>
      </c>
      <c r="D68" s="84">
        <f t="shared" si="0"/>
        <v>9.2200000000000006</v>
      </c>
      <c r="E68" s="130">
        <f t="shared" si="1"/>
        <v>9.2200000000000006</v>
      </c>
    </row>
    <row r="69" spans="1:5" s="30" customFormat="1" ht="15.75" customHeight="1" x14ac:dyDescent="0.25">
      <c r="A69" s="50" t="s">
        <v>21</v>
      </c>
      <c r="B69" s="303" t="s">
        <v>197</v>
      </c>
      <c r="C69" s="59">
        <v>0</v>
      </c>
      <c r="D69" s="84">
        <f t="shared" si="0"/>
        <v>0</v>
      </c>
      <c r="E69" s="130">
        <f t="shared" si="1"/>
        <v>0</v>
      </c>
    </row>
    <row r="70" spans="1:5" s="30" customFormat="1" x14ac:dyDescent="0.25">
      <c r="A70" s="418" t="s">
        <v>29</v>
      </c>
      <c r="B70" s="419"/>
      <c r="C70" s="60">
        <f>SUM(C64:C69)</f>
        <v>2.9100000000000001E-2</v>
      </c>
      <c r="D70" s="86">
        <f>SUM(D64:D69)</f>
        <v>894.22</v>
      </c>
      <c r="E70" s="131">
        <f>SUM(E64:E69)</f>
        <v>894.22</v>
      </c>
    </row>
    <row r="71" spans="1:5" s="30" customFormat="1" x14ac:dyDescent="0.25">
      <c r="A71" s="304"/>
      <c r="B71" s="305"/>
      <c r="C71" s="78"/>
      <c r="D71" s="78"/>
      <c r="E71" s="129"/>
    </row>
    <row r="72" spans="1:5" s="30" customFormat="1" x14ac:dyDescent="0.25">
      <c r="A72" s="304"/>
      <c r="B72" s="420" t="s">
        <v>201</v>
      </c>
      <c r="C72" s="429"/>
      <c r="D72" s="74" t="s">
        <v>10</v>
      </c>
      <c r="E72" s="138" t="s">
        <v>10</v>
      </c>
    </row>
    <row r="73" spans="1:5" s="30" customFormat="1" x14ac:dyDescent="0.25">
      <c r="A73" s="48" t="s">
        <v>0</v>
      </c>
      <c r="B73" s="298" t="s">
        <v>202</v>
      </c>
      <c r="C73" s="165">
        <v>0</v>
      </c>
      <c r="D73" s="223">
        <v>0</v>
      </c>
      <c r="E73" s="180">
        <v>0</v>
      </c>
    </row>
    <row r="74" spans="1:5" s="30" customFormat="1" ht="15.75" customHeight="1" x14ac:dyDescent="0.25">
      <c r="A74" s="418" t="s">
        <v>27</v>
      </c>
      <c r="B74" s="419"/>
      <c r="C74" s="101">
        <v>0</v>
      </c>
      <c r="D74" s="86">
        <f>D73</f>
        <v>0</v>
      </c>
      <c r="E74" s="131">
        <f>E73</f>
        <v>0</v>
      </c>
    </row>
    <row r="75" spans="1:5" s="30" customFormat="1" ht="15.75" customHeight="1" x14ac:dyDescent="0.25">
      <c r="A75" s="402" t="s">
        <v>30</v>
      </c>
      <c r="B75" s="403"/>
      <c r="C75" s="403"/>
      <c r="D75" s="476"/>
      <c r="E75" s="472"/>
    </row>
    <row r="76" spans="1:5" s="30" customFormat="1" ht="15.75" customHeight="1" x14ac:dyDescent="0.25">
      <c r="A76" s="431" t="s">
        <v>203</v>
      </c>
      <c r="B76" s="432"/>
      <c r="C76" s="432"/>
      <c r="D76" s="479"/>
      <c r="E76" s="480"/>
    </row>
    <row r="77" spans="1:5" s="30" customFormat="1" ht="15.75" customHeight="1" x14ac:dyDescent="0.25">
      <c r="A77" s="302">
        <v>4</v>
      </c>
      <c r="B77" s="396" t="s">
        <v>220</v>
      </c>
      <c r="C77" s="397"/>
      <c r="D77" s="74" t="s">
        <v>10</v>
      </c>
      <c r="E77" s="138" t="s">
        <v>10</v>
      </c>
    </row>
    <row r="78" spans="1:5" s="30" customFormat="1" ht="15.75" customHeight="1" x14ac:dyDescent="0.25">
      <c r="A78" s="50" t="s">
        <v>199</v>
      </c>
      <c r="B78" s="51" t="s">
        <v>198</v>
      </c>
      <c r="C78" s="59">
        <f>C70</f>
        <v>2.9100000000000001E-2</v>
      </c>
      <c r="D78" s="84">
        <f>D70</f>
        <v>894.22</v>
      </c>
      <c r="E78" s="130">
        <f>E70</f>
        <v>894.22</v>
      </c>
    </row>
    <row r="79" spans="1:5" s="30" customFormat="1" ht="15.75" customHeight="1" x14ac:dyDescent="0.25">
      <c r="A79" s="50" t="s">
        <v>221</v>
      </c>
      <c r="B79" s="51" t="s">
        <v>201</v>
      </c>
      <c r="C79" s="59">
        <v>0</v>
      </c>
      <c r="D79" s="84">
        <f>(D$25+D$53+D$61)*C79</f>
        <v>0</v>
      </c>
      <c r="E79" s="130">
        <f>(E$25+E$53+E$61)*C79</f>
        <v>0</v>
      </c>
    </row>
    <row r="80" spans="1:5" s="30" customFormat="1" ht="15.75" customHeight="1" x14ac:dyDescent="0.25">
      <c r="A80" s="418" t="s">
        <v>27</v>
      </c>
      <c r="B80" s="419"/>
      <c r="C80" s="99">
        <f>SUM(C78:C79)</f>
        <v>2.9100000000000001E-2</v>
      </c>
      <c r="D80" s="86">
        <f>SUM(D78:D79)</f>
        <v>894.22</v>
      </c>
      <c r="E80" s="131">
        <f>SUM(E78:E79)</f>
        <v>894.22</v>
      </c>
    </row>
    <row r="81" spans="1:5" s="30" customFormat="1" ht="15.75" customHeight="1" x14ac:dyDescent="0.25">
      <c r="A81" s="400" t="s">
        <v>155</v>
      </c>
      <c r="B81" s="401"/>
      <c r="C81" s="401"/>
      <c r="D81" s="70">
        <f>SUM(D74+D80)</f>
        <v>894.22</v>
      </c>
      <c r="E81" s="136">
        <f>SUM(E74+E80)</f>
        <v>894.22</v>
      </c>
    </row>
    <row r="82" spans="1:5" s="30" customFormat="1" ht="15.75" customHeight="1" x14ac:dyDescent="0.25">
      <c r="A82" s="398" t="s">
        <v>164</v>
      </c>
      <c r="B82" s="399"/>
      <c r="C82" s="399"/>
      <c r="D82" s="477"/>
      <c r="E82" s="478"/>
    </row>
    <row r="83" spans="1:5" s="30" customFormat="1" ht="15.75" customHeight="1" x14ac:dyDescent="0.25">
      <c r="A83" s="302">
        <v>5</v>
      </c>
      <c r="B83" s="396" t="s">
        <v>24</v>
      </c>
      <c r="C83" s="397"/>
      <c r="D83" s="74" t="s">
        <v>10</v>
      </c>
      <c r="E83" s="138" t="s">
        <v>10</v>
      </c>
    </row>
    <row r="84" spans="1:5" s="30" customFormat="1" ht="15.75" customHeight="1" x14ac:dyDescent="0.25">
      <c r="A84" s="50" t="s">
        <v>0</v>
      </c>
      <c r="B84" s="395" t="s">
        <v>222</v>
      </c>
      <c r="C84" s="395"/>
      <c r="D84" s="84">
        <f>Uniformes!H7</f>
        <v>36.619999999999997</v>
      </c>
      <c r="E84" s="130">
        <f>Uniformes!H7</f>
        <v>36.619999999999997</v>
      </c>
    </row>
    <row r="85" spans="1:5" s="30" customFormat="1" ht="15.75" customHeight="1" x14ac:dyDescent="0.25">
      <c r="A85" s="50" t="s">
        <v>2</v>
      </c>
      <c r="B85" s="395" t="s">
        <v>223</v>
      </c>
      <c r="C85" s="395"/>
      <c r="D85" s="84">
        <f>Materiais!H20</f>
        <v>44.57</v>
      </c>
      <c r="E85" s="130">
        <f>Materiais!H21</f>
        <v>44.57</v>
      </c>
    </row>
    <row r="86" spans="1:5" s="30" customFormat="1" ht="15.75" customHeight="1" x14ac:dyDescent="0.25">
      <c r="A86" s="50" t="s">
        <v>3</v>
      </c>
      <c r="B86" s="395" t="s">
        <v>187</v>
      </c>
      <c r="C86" s="395"/>
      <c r="D86" s="81">
        <f>Equipamentos!H20</f>
        <v>922.4</v>
      </c>
      <c r="E86" s="129">
        <f>Equipamentos!H21</f>
        <v>922.4</v>
      </c>
    </row>
    <row r="87" spans="1:5" s="30" customFormat="1" ht="15.75" customHeight="1" x14ac:dyDescent="0.25">
      <c r="A87" s="50" t="s">
        <v>5</v>
      </c>
      <c r="B87" s="395" t="s">
        <v>137</v>
      </c>
      <c r="C87" s="395"/>
      <c r="D87" s="84">
        <v>0</v>
      </c>
      <c r="E87" s="130">
        <v>0</v>
      </c>
    </row>
    <row r="88" spans="1:5" s="30" customFormat="1" ht="15.75" customHeight="1" x14ac:dyDescent="0.25">
      <c r="A88" s="400" t="s">
        <v>156</v>
      </c>
      <c r="B88" s="401"/>
      <c r="C88" s="401"/>
      <c r="D88" s="70">
        <f>SUM(D84:D87)</f>
        <v>1003.59</v>
      </c>
      <c r="E88" s="136">
        <f>SUM(E84:E87)</f>
        <v>1003.59</v>
      </c>
    </row>
    <row r="89" spans="1:5" s="30" customFormat="1" ht="30" customHeight="1" x14ac:dyDescent="0.25">
      <c r="A89" s="398" t="s">
        <v>37</v>
      </c>
      <c r="B89" s="399"/>
      <c r="C89" s="399"/>
      <c r="D89" s="167">
        <f>D88+D81+D61+D53+D25</f>
        <v>32590.18</v>
      </c>
      <c r="E89" s="140">
        <f>E88+E81+E61+E53+E25</f>
        <v>32590.18</v>
      </c>
    </row>
    <row r="90" spans="1:5" s="30" customFormat="1" ht="19.5" customHeight="1" x14ac:dyDescent="0.25">
      <c r="A90" s="402" t="s">
        <v>165</v>
      </c>
      <c r="B90" s="403"/>
      <c r="C90" s="403"/>
      <c r="D90" s="476"/>
      <c r="E90" s="472"/>
    </row>
    <row r="91" spans="1:5" s="30" customFormat="1" x14ac:dyDescent="0.25">
      <c r="A91" s="302">
        <v>5</v>
      </c>
      <c r="B91" s="396" t="s">
        <v>38</v>
      </c>
      <c r="C91" s="412"/>
      <c r="D91" s="74" t="s">
        <v>10</v>
      </c>
      <c r="E91" s="138" t="s">
        <v>10</v>
      </c>
    </row>
    <row r="92" spans="1:5" s="30" customFormat="1" x14ac:dyDescent="0.25">
      <c r="A92" s="302" t="s">
        <v>0</v>
      </c>
      <c r="B92" s="51" t="s">
        <v>39</v>
      </c>
      <c r="C92" s="59">
        <v>0.03</v>
      </c>
      <c r="D92" s="84">
        <f>D89*C92</f>
        <v>977.71</v>
      </c>
      <c r="E92" s="130">
        <f>E89*C92</f>
        <v>977.71</v>
      </c>
    </row>
    <row r="93" spans="1:5" s="30" customFormat="1" x14ac:dyDescent="0.25">
      <c r="A93" s="302" t="s">
        <v>2</v>
      </c>
      <c r="B93" s="51" t="s">
        <v>40</v>
      </c>
      <c r="C93" s="59">
        <v>6.7900000000000002E-2</v>
      </c>
      <c r="D93" s="84">
        <f>C93*(D89+D92)</f>
        <v>2279.2600000000002</v>
      </c>
      <c r="E93" s="130">
        <f>C93*(E89+E92)</f>
        <v>2279.2600000000002</v>
      </c>
    </row>
    <row r="94" spans="1:5" s="30" customFormat="1" ht="31.5" x14ac:dyDescent="0.25">
      <c r="A94" s="422" t="s">
        <v>3</v>
      </c>
      <c r="B94" s="51" t="s">
        <v>50</v>
      </c>
      <c r="C94" s="59">
        <f>1-C102</f>
        <v>0.85750000000000004</v>
      </c>
      <c r="D94" s="84">
        <f>D89+D92+D93</f>
        <v>35847.15</v>
      </c>
      <c r="E94" s="130">
        <f>E89+E92+E93</f>
        <v>35847.15</v>
      </c>
    </row>
    <row r="95" spans="1:5" s="30" customFormat="1" x14ac:dyDescent="0.25">
      <c r="A95" s="422"/>
      <c r="B95" s="303" t="s">
        <v>41</v>
      </c>
      <c r="C95" s="95"/>
      <c r="D95" s="168">
        <f>+D94/C94</f>
        <v>41804.26</v>
      </c>
      <c r="E95" s="141">
        <f>+E94/C94</f>
        <v>41804.26</v>
      </c>
    </row>
    <row r="96" spans="1:5" s="30" customFormat="1" x14ac:dyDescent="0.25">
      <c r="A96" s="422"/>
      <c r="B96" s="303" t="s">
        <v>42</v>
      </c>
      <c r="C96" s="72"/>
      <c r="D96" s="84"/>
      <c r="E96" s="130"/>
    </row>
    <row r="97" spans="1:5" s="30" customFormat="1" x14ac:dyDescent="0.25">
      <c r="A97" s="422"/>
      <c r="B97" s="51" t="s">
        <v>130</v>
      </c>
      <c r="C97" s="59">
        <v>1.6500000000000001E-2</v>
      </c>
      <c r="D97" s="84">
        <f>+D95*C97</f>
        <v>689.77</v>
      </c>
      <c r="E97" s="130">
        <f>+E95*C97</f>
        <v>689.77</v>
      </c>
    </row>
    <row r="98" spans="1:5" s="30" customFormat="1" x14ac:dyDescent="0.25">
      <c r="A98" s="422"/>
      <c r="B98" s="51" t="s">
        <v>131</v>
      </c>
      <c r="C98" s="59">
        <v>7.5999999999999998E-2</v>
      </c>
      <c r="D98" s="84">
        <f>+D95*C98</f>
        <v>3177.12</v>
      </c>
      <c r="E98" s="130">
        <f>+E95*C98</f>
        <v>3177.12</v>
      </c>
    </row>
    <row r="99" spans="1:5" s="30" customFormat="1" x14ac:dyDescent="0.25">
      <c r="A99" s="422"/>
      <c r="B99" s="53" t="s">
        <v>43</v>
      </c>
      <c r="C99" s="95"/>
      <c r="D99" s="84"/>
      <c r="E99" s="130"/>
    </row>
    <row r="100" spans="1:5" s="30" customFormat="1" x14ac:dyDescent="0.25">
      <c r="A100" s="422"/>
      <c r="B100" s="53" t="s">
        <v>44</v>
      </c>
      <c r="C100" s="102"/>
      <c r="D100" s="84"/>
      <c r="E100" s="130"/>
    </row>
    <row r="101" spans="1:5" s="30" customFormat="1" x14ac:dyDescent="0.25">
      <c r="A101" s="422"/>
      <c r="B101" s="51" t="s">
        <v>142</v>
      </c>
      <c r="C101" s="59">
        <v>0.05</v>
      </c>
      <c r="D101" s="84">
        <f>+D95*C101</f>
        <v>2090.21</v>
      </c>
      <c r="E101" s="130">
        <f>+E95*C101</f>
        <v>2090.21</v>
      </c>
    </row>
    <row r="102" spans="1:5" s="30" customFormat="1" x14ac:dyDescent="0.25">
      <c r="A102" s="302"/>
      <c r="B102" s="106" t="s">
        <v>45</v>
      </c>
      <c r="C102" s="107">
        <f>SUM(C97:C101)</f>
        <v>0.14249999999999999</v>
      </c>
      <c r="D102" s="108">
        <f>SUM(D97:D101)</f>
        <v>5957.1</v>
      </c>
      <c r="E102" s="143">
        <f>SUM(E97:E101)</f>
        <v>5957.1</v>
      </c>
    </row>
    <row r="103" spans="1:5" s="30" customFormat="1" ht="15.75" customHeight="1" x14ac:dyDescent="0.25">
      <c r="A103" s="418" t="s">
        <v>46</v>
      </c>
      <c r="B103" s="419"/>
      <c r="C103" s="419"/>
      <c r="D103" s="86">
        <f>+D92+D93+D102</f>
        <v>9214.07</v>
      </c>
      <c r="E103" s="131">
        <f>+E92+E93+E102</f>
        <v>9214.07</v>
      </c>
    </row>
    <row r="104" spans="1:5" s="30" customFormat="1" ht="15.75" customHeight="1" x14ac:dyDescent="0.25">
      <c r="A104" s="423" t="s">
        <v>47</v>
      </c>
      <c r="B104" s="424"/>
      <c r="C104" s="424"/>
      <c r="D104" s="217"/>
      <c r="E104" s="179" t="s">
        <v>10</v>
      </c>
    </row>
    <row r="105" spans="1:5" s="30" customFormat="1" x14ac:dyDescent="0.25">
      <c r="A105" s="50" t="s">
        <v>0</v>
      </c>
      <c r="B105" s="425" t="s">
        <v>48</v>
      </c>
      <c r="C105" s="425"/>
      <c r="D105" s="84">
        <f>D25</f>
        <v>17996.75</v>
      </c>
      <c r="E105" s="130">
        <f>E25</f>
        <v>17996.75</v>
      </c>
    </row>
    <row r="106" spans="1:5" s="30" customFormat="1" x14ac:dyDescent="0.25">
      <c r="A106" s="50" t="s">
        <v>2</v>
      </c>
      <c r="B106" s="425" t="s">
        <v>159</v>
      </c>
      <c r="C106" s="425"/>
      <c r="D106" s="84">
        <f>D53</f>
        <v>11408.84</v>
      </c>
      <c r="E106" s="130">
        <f>E53</f>
        <v>11408.84</v>
      </c>
    </row>
    <row r="107" spans="1:5" s="30" customFormat="1" x14ac:dyDescent="0.25">
      <c r="A107" s="50" t="s">
        <v>3</v>
      </c>
      <c r="B107" s="425" t="s">
        <v>157</v>
      </c>
      <c r="C107" s="425"/>
      <c r="D107" s="84">
        <f>D61</f>
        <v>1286.78</v>
      </c>
      <c r="E107" s="130">
        <f>E61</f>
        <v>1286.78</v>
      </c>
    </row>
    <row r="108" spans="1:5" s="30" customFormat="1" x14ac:dyDescent="0.25">
      <c r="A108" s="50" t="s">
        <v>5</v>
      </c>
      <c r="B108" s="474" t="s">
        <v>150</v>
      </c>
      <c r="C108" s="475"/>
      <c r="D108" s="84">
        <f>D81</f>
        <v>894.22</v>
      </c>
      <c r="E108" s="130">
        <f>E81</f>
        <v>894.22</v>
      </c>
    </row>
    <row r="109" spans="1:5" s="30" customFormat="1" x14ac:dyDescent="0.25">
      <c r="A109" s="50" t="s">
        <v>20</v>
      </c>
      <c r="B109" s="474" t="s">
        <v>158</v>
      </c>
      <c r="C109" s="475"/>
      <c r="D109" s="84">
        <f>D88</f>
        <v>1003.59</v>
      </c>
      <c r="E109" s="130">
        <f>E88</f>
        <v>1003.59</v>
      </c>
    </row>
    <row r="110" spans="1:5" s="30" customFormat="1" ht="15.75" customHeight="1" x14ac:dyDescent="0.25">
      <c r="A110" s="422" t="s">
        <v>160</v>
      </c>
      <c r="B110" s="426"/>
      <c r="C110" s="426"/>
      <c r="D110" s="108">
        <f>SUM(D105:D109)</f>
        <v>32590.18</v>
      </c>
      <c r="E110" s="143">
        <f>SUM(E105:E109)</f>
        <v>32590.18</v>
      </c>
    </row>
    <row r="111" spans="1:5" s="30" customFormat="1" x14ac:dyDescent="0.25">
      <c r="A111" s="302" t="s">
        <v>20</v>
      </c>
      <c r="B111" s="425" t="s">
        <v>161</v>
      </c>
      <c r="C111" s="425"/>
      <c r="D111" s="84">
        <f>+D103</f>
        <v>9214.07</v>
      </c>
      <c r="E111" s="130">
        <f>+E103</f>
        <v>9214.07</v>
      </c>
    </row>
    <row r="112" spans="1:5" s="30" customFormat="1" ht="16.5" customHeight="1" thickBot="1" x14ac:dyDescent="0.3">
      <c r="A112" s="492" t="s">
        <v>49</v>
      </c>
      <c r="B112" s="493"/>
      <c r="C112" s="493"/>
      <c r="D112" s="224">
        <f>+D110+D111</f>
        <v>41804.25</v>
      </c>
      <c r="E112" s="225">
        <f>+E110+E111</f>
        <v>41804.25</v>
      </c>
    </row>
    <row r="113" spans="1:5" ht="16.5" thickBot="1" x14ac:dyDescent="0.3">
      <c r="A113" s="494" t="s">
        <v>234</v>
      </c>
      <c r="B113" s="495"/>
      <c r="C113" s="495"/>
      <c r="D113" s="495"/>
      <c r="E113" s="496"/>
    </row>
    <row r="114" spans="1:5" x14ac:dyDescent="0.25">
      <c r="A114" s="500" t="s">
        <v>297</v>
      </c>
      <c r="B114" s="501"/>
      <c r="C114" s="501"/>
      <c r="D114" s="501"/>
      <c r="E114" s="502"/>
    </row>
    <row r="115" spans="1:5" x14ac:dyDescent="0.25">
      <c r="A115" s="503"/>
      <c r="B115" s="504"/>
      <c r="C115" s="504"/>
      <c r="D115" s="504"/>
      <c r="E115" s="505"/>
    </row>
    <row r="116" spans="1:5" x14ac:dyDescent="0.25">
      <c r="A116" s="503"/>
      <c r="B116" s="504"/>
      <c r="C116" s="504"/>
      <c r="D116" s="504"/>
      <c r="E116" s="505"/>
    </row>
    <row r="117" spans="1:5" x14ac:dyDescent="0.25">
      <c r="A117" s="503"/>
      <c r="B117" s="504"/>
      <c r="C117" s="504"/>
      <c r="D117" s="504"/>
      <c r="E117" s="505"/>
    </row>
    <row r="118" spans="1:5" x14ac:dyDescent="0.25">
      <c r="A118" s="503"/>
      <c r="B118" s="504"/>
      <c r="C118" s="504"/>
      <c r="D118" s="504"/>
      <c r="E118" s="505"/>
    </row>
    <row r="119" spans="1:5" x14ac:dyDescent="0.25">
      <c r="A119" s="503"/>
      <c r="B119" s="504"/>
      <c r="C119" s="504"/>
      <c r="D119" s="504"/>
      <c r="E119" s="505"/>
    </row>
    <row r="120" spans="1:5" x14ac:dyDescent="0.25">
      <c r="A120" s="503"/>
      <c r="B120" s="504"/>
      <c r="C120" s="504"/>
      <c r="D120" s="504"/>
      <c r="E120" s="505"/>
    </row>
    <row r="121" spans="1:5" x14ac:dyDescent="0.25">
      <c r="A121" s="503"/>
      <c r="B121" s="504"/>
      <c r="C121" s="504"/>
      <c r="D121" s="504"/>
      <c r="E121" s="505"/>
    </row>
    <row r="122" spans="1:5" ht="16.5" thickBot="1" x14ac:dyDescent="0.3">
      <c r="A122" s="506"/>
      <c r="B122" s="507"/>
      <c r="C122" s="507"/>
      <c r="D122" s="507"/>
      <c r="E122" s="508"/>
    </row>
    <row r="124" spans="1:5" x14ac:dyDescent="0.25">
      <c r="B124" s="28"/>
    </row>
  </sheetData>
  <mergeCells count="65">
    <mergeCell ref="A114:E122"/>
    <mergeCell ref="C6:E6"/>
    <mergeCell ref="A1:E1"/>
    <mergeCell ref="A2:E2"/>
    <mergeCell ref="A3:E3"/>
    <mergeCell ref="C4:E4"/>
    <mergeCell ref="C5:E5"/>
    <mergeCell ref="A26:C26"/>
    <mergeCell ref="C7:E7"/>
    <mergeCell ref="A8:E8"/>
    <mergeCell ref="A9:E9"/>
    <mergeCell ref="A10:E10"/>
    <mergeCell ref="A11:C11"/>
    <mergeCell ref="C12:E12"/>
    <mergeCell ref="C14:E14"/>
    <mergeCell ref="C15:E15"/>
    <mergeCell ref="A16:C16"/>
    <mergeCell ref="B17:C17"/>
    <mergeCell ref="A25:C25"/>
    <mergeCell ref="C13:E13"/>
    <mergeCell ref="D11:E11"/>
    <mergeCell ref="A61:C61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54:E54"/>
    <mergeCell ref="B55:C55"/>
    <mergeCell ref="B83:C83"/>
    <mergeCell ref="A62:E62"/>
    <mergeCell ref="B63:C63"/>
    <mergeCell ref="A70:B70"/>
    <mergeCell ref="B72:C72"/>
    <mergeCell ref="A74:B74"/>
    <mergeCell ref="A75:E75"/>
    <mergeCell ref="A76:E76"/>
    <mergeCell ref="B77:C77"/>
    <mergeCell ref="A80:B80"/>
    <mergeCell ref="A81:C81"/>
    <mergeCell ref="A82:E82"/>
    <mergeCell ref="B105:C105"/>
    <mergeCell ref="B84:C84"/>
    <mergeCell ref="B85:C85"/>
    <mergeCell ref="B86:C86"/>
    <mergeCell ref="B87:C87"/>
    <mergeCell ref="A88:C88"/>
    <mergeCell ref="A89:C89"/>
    <mergeCell ref="A90:E90"/>
    <mergeCell ref="B91:C91"/>
    <mergeCell ref="A94:A101"/>
    <mergeCell ref="A103:C103"/>
    <mergeCell ref="A104:C104"/>
    <mergeCell ref="A112:C112"/>
    <mergeCell ref="A113:E113"/>
    <mergeCell ref="B106:C106"/>
    <mergeCell ref="B107:C107"/>
    <mergeCell ref="B108:C108"/>
    <mergeCell ref="B109:C109"/>
    <mergeCell ref="A110:C110"/>
    <mergeCell ref="B111:C111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97" zoomScaleNormal="115" zoomScaleSheetLayoutView="100" workbookViewId="0">
      <selection activeCell="A24" sqref="A24:H24"/>
    </sheetView>
  </sheetViews>
  <sheetFormatPr defaultColWidth="9.140625" defaultRowHeight="15.75" x14ac:dyDescent="0.25"/>
  <cols>
    <col min="1" max="1" width="4.42578125" style="29" bestFit="1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433"/>
      <c r="B1" s="434"/>
      <c r="C1" s="434"/>
      <c r="D1" s="487"/>
      <c r="E1" s="435"/>
    </row>
    <row r="2" spans="1:5" s="38" customFormat="1" ht="16.5" customHeight="1" x14ac:dyDescent="0.25">
      <c r="A2" s="407" t="s">
        <v>132</v>
      </c>
      <c r="B2" s="408"/>
      <c r="C2" s="408"/>
      <c r="D2" s="488"/>
      <c r="E2" s="409"/>
    </row>
    <row r="3" spans="1:5" s="38" customFormat="1" x14ac:dyDescent="0.25">
      <c r="A3" s="404" t="s">
        <v>129</v>
      </c>
      <c r="B3" s="405"/>
      <c r="C3" s="405"/>
      <c r="D3" s="482"/>
      <c r="E3" s="406"/>
    </row>
    <row r="4" spans="1:5" s="38" customFormat="1" ht="15" customHeight="1" x14ac:dyDescent="0.25">
      <c r="A4" s="40" t="s">
        <v>0</v>
      </c>
      <c r="B4" s="41" t="s">
        <v>1</v>
      </c>
      <c r="C4" s="436">
        <v>2024</v>
      </c>
      <c r="D4" s="436"/>
      <c r="E4" s="437"/>
    </row>
    <row r="5" spans="1:5" s="38" customFormat="1" ht="75" customHeight="1" x14ac:dyDescent="0.25">
      <c r="A5" s="40" t="s">
        <v>2</v>
      </c>
      <c r="B5" s="41" t="s">
        <v>140</v>
      </c>
      <c r="C5" s="438" t="s">
        <v>258</v>
      </c>
      <c r="D5" s="438"/>
      <c r="E5" s="439"/>
    </row>
    <row r="6" spans="1:5" s="38" customFormat="1" ht="15.75" customHeight="1" x14ac:dyDescent="0.25">
      <c r="A6" s="40" t="s">
        <v>3</v>
      </c>
      <c r="B6" s="41" t="s">
        <v>4</v>
      </c>
      <c r="C6" s="438"/>
      <c r="D6" s="438"/>
      <c r="E6" s="439"/>
    </row>
    <row r="7" spans="1:5" s="38" customFormat="1" x14ac:dyDescent="0.25">
      <c r="A7" s="40" t="s">
        <v>5</v>
      </c>
      <c r="B7" s="41" t="s">
        <v>143</v>
      </c>
      <c r="C7" s="438">
        <v>12</v>
      </c>
      <c r="D7" s="438"/>
      <c r="E7" s="439"/>
    </row>
    <row r="8" spans="1:5" s="38" customFormat="1" x14ac:dyDescent="0.25">
      <c r="A8" s="404" t="s">
        <v>6</v>
      </c>
      <c r="B8" s="405"/>
      <c r="C8" s="405"/>
      <c r="D8" s="482"/>
      <c r="E8" s="406"/>
    </row>
    <row r="9" spans="1:5" s="38" customFormat="1" x14ac:dyDescent="0.25">
      <c r="A9" s="404" t="s">
        <v>7</v>
      </c>
      <c r="B9" s="405"/>
      <c r="C9" s="405"/>
      <c r="D9" s="482"/>
      <c r="E9" s="406"/>
    </row>
    <row r="10" spans="1:5" s="38" customFormat="1" ht="15.75" customHeight="1" x14ac:dyDescent="0.25">
      <c r="A10" s="404" t="s">
        <v>8</v>
      </c>
      <c r="B10" s="405"/>
      <c r="C10" s="405"/>
      <c r="D10" s="482"/>
      <c r="E10" s="406"/>
    </row>
    <row r="11" spans="1:5" s="38" customFormat="1" ht="30" customHeight="1" x14ac:dyDescent="0.25">
      <c r="A11" s="440" t="s">
        <v>9</v>
      </c>
      <c r="B11" s="441"/>
      <c r="C11" s="441"/>
      <c r="D11" s="485" t="s">
        <v>10</v>
      </c>
      <c r="E11" s="486"/>
    </row>
    <row r="12" spans="1:5" s="38" customFormat="1" ht="60" customHeight="1" x14ac:dyDescent="0.25">
      <c r="A12" s="40">
        <v>1</v>
      </c>
      <c r="B12" s="42" t="s">
        <v>133</v>
      </c>
      <c r="C12" s="445" t="s">
        <v>259</v>
      </c>
      <c r="D12" s="445"/>
      <c r="E12" s="446"/>
    </row>
    <row r="13" spans="1:5" s="38" customFormat="1" ht="30" customHeight="1" x14ac:dyDescent="0.25">
      <c r="A13" s="40">
        <v>2</v>
      </c>
      <c r="B13" s="42" t="s">
        <v>11</v>
      </c>
      <c r="C13" s="497">
        <f>(13581.68+(13581.68*10.18%)+(14964.25*8.9%)+(16296.07*6.97%))</f>
        <v>17431.95</v>
      </c>
      <c r="D13" s="498"/>
      <c r="E13" s="499"/>
    </row>
    <row r="14" spans="1:5" s="38" customFormat="1" ht="15.95" customHeight="1" x14ac:dyDescent="0.25">
      <c r="A14" s="40">
        <v>3</v>
      </c>
      <c r="B14" s="42" t="s">
        <v>12</v>
      </c>
      <c r="C14" s="445" t="s">
        <v>239</v>
      </c>
      <c r="D14" s="445"/>
      <c r="E14" s="446"/>
    </row>
    <row r="15" spans="1:5" s="38" customFormat="1" x14ac:dyDescent="0.25">
      <c r="A15" s="40">
        <v>4</v>
      </c>
      <c r="B15" s="43" t="s">
        <v>13</v>
      </c>
      <c r="C15" s="450"/>
      <c r="D15" s="390"/>
      <c r="E15" s="451"/>
    </row>
    <row r="16" spans="1:5" s="39" customFormat="1" ht="31.5" x14ac:dyDescent="0.25">
      <c r="A16" s="402" t="s">
        <v>14</v>
      </c>
      <c r="B16" s="403"/>
      <c r="C16" s="476"/>
      <c r="D16" s="301" t="s">
        <v>265</v>
      </c>
      <c r="E16" s="306" t="s">
        <v>266</v>
      </c>
    </row>
    <row r="17" spans="1:5" s="39" customFormat="1" x14ac:dyDescent="0.25">
      <c r="A17" s="304">
        <v>1</v>
      </c>
      <c r="B17" s="420" t="s">
        <v>15</v>
      </c>
      <c r="C17" s="513"/>
      <c r="D17" s="61" t="s">
        <v>10</v>
      </c>
      <c r="E17" s="134" t="s">
        <v>10</v>
      </c>
    </row>
    <row r="18" spans="1:5" s="38" customFormat="1" ht="15.75" customHeight="1" x14ac:dyDescent="0.25">
      <c r="A18" s="45" t="s">
        <v>0</v>
      </c>
      <c r="B18" s="46" t="s">
        <v>16</v>
      </c>
      <c r="C18" s="172"/>
      <c r="D18" s="81">
        <f>C13</f>
        <v>17431.95</v>
      </c>
      <c r="E18" s="129">
        <f>C13</f>
        <v>17431.95</v>
      </c>
    </row>
    <row r="19" spans="1:5" s="38" customFormat="1" ht="15.75" customHeight="1" x14ac:dyDescent="0.25">
      <c r="A19" s="45" t="s">
        <v>2</v>
      </c>
      <c r="B19" s="46" t="s">
        <v>17</v>
      </c>
      <c r="C19" s="173"/>
      <c r="D19" s="83"/>
      <c r="E19" s="135"/>
    </row>
    <row r="20" spans="1:5" s="38" customFormat="1" ht="15.75" customHeight="1" x14ac:dyDescent="0.25">
      <c r="A20" s="45" t="s">
        <v>3</v>
      </c>
      <c r="B20" s="46" t="s">
        <v>18</v>
      </c>
      <c r="C20" s="174" t="s">
        <v>243</v>
      </c>
      <c r="D20" s="83">
        <f>40%*1412</f>
        <v>564.79999999999995</v>
      </c>
      <c r="E20" s="135">
        <f>40%*1412</f>
        <v>564.79999999999995</v>
      </c>
    </row>
    <row r="21" spans="1:5" s="38" customFormat="1" ht="15.75" customHeight="1" x14ac:dyDescent="0.25">
      <c r="A21" s="45" t="s">
        <v>5</v>
      </c>
      <c r="B21" s="46" t="s">
        <v>19</v>
      </c>
      <c r="C21" s="173"/>
      <c r="D21" s="83">
        <f>((((D18+D20)/220)*20%)*8)*15.21</f>
        <v>1990.77</v>
      </c>
      <c r="E21" s="135">
        <f>((((E18+E20)/220)*20%)*8)*15.21</f>
        <v>1990.77</v>
      </c>
    </row>
    <row r="22" spans="1:5" s="38" customFormat="1" ht="15.75" customHeight="1" x14ac:dyDescent="0.25">
      <c r="A22" s="45" t="s">
        <v>20</v>
      </c>
      <c r="B22" s="46" t="s">
        <v>204</v>
      </c>
      <c r="C22" s="173"/>
      <c r="D22" s="83"/>
      <c r="E22" s="135"/>
    </row>
    <row r="23" spans="1:5" s="38" customFormat="1" x14ac:dyDescent="0.25">
      <c r="A23" s="45" t="s">
        <v>21</v>
      </c>
      <c r="B23" s="46" t="s">
        <v>138</v>
      </c>
      <c r="C23" s="175"/>
      <c r="D23" s="83"/>
      <c r="E23" s="135"/>
    </row>
    <row r="24" spans="1:5" s="38" customFormat="1" ht="15.75" customHeight="1" x14ac:dyDescent="0.25">
      <c r="A24" s="45" t="s">
        <v>22</v>
      </c>
      <c r="B24" s="47" t="s">
        <v>139</v>
      </c>
      <c r="C24" s="175"/>
      <c r="D24" s="83"/>
      <c r="E24" s="135"/>
    </row>
    <row r="25" spans="1:5" s="39" customFormat="1" ht="15.75" customHeight="1" x14ac:dyDescent="0.25">
      <c r="A25" s="400" t="s">
        <v>152</v>
      </c>
      <c r="B25" s="401"/>
      <c r="C25" s="514"/>
      <c r="D25" s="70">
        <f>SUM(D18:D24)</f>
        <v>19987.52</v>
      </c>
      <c r="E25" s="136">
        <f>SUM(E18:E24)</f>
        <v>19987.52</v>
      </c>
    </row>
    <row r="26" spans="1:5" s="39" customFormat="1" x14ac:dyDescent="0.25">
      <c r="A26" s="402" t="s">
        <v>51</v>
      </c>
      <c r="B26" s="403"/>
      <c r="C26" s="476"/>
      <c r="D26" s="220"/>
      <c r="E26" s="178"/>
    </row>
    <row r="27" spans="1:5" s="38" customFormat="1" x14ac:dyDescent="0.25">
      <c r="A27" s="302">
        <v>2</v>
      </c>
      <c r="B27" s="396" t="s">
        <v>205</v>
      </c>
      <c r="C27" s="512"/>
      <c r="D27" s="74" t="s">
        <v>10</v>
      </c>
      <c r="E27" s="138" t="s">
        <v>10</v>
      </c>
    </row>
    <row r="28" spans="1:5" s="38" customFormat="1" x14ac:dyDescent="0.25">
      <c r="A28" s="50" t="s">
        <v>0</v>
      </c>
      <c r="B28" s="51" t="s">
        <v>28</v>
      </c>
      <c r="C28" s="176">
        <f>1/12</f>
        <v>8.3299999999999999E-2</v>
      </c>
      <c r="D28" s="84">
        <f>(D25)*C28</f>
        <v>1664.96</v>
      </c>
      <c r="E28" s="130">
        <f>(E25)*C28</f>
        <v>1664.96</v>
      </c>
    </row>
    <row r="29" spans="1:5" s="38" customFormat="1" x14ac:dyDescent="0.25">
      <c r="A29" s="50" t="s">
        <v>2</v>
      </c>
      <c r="B29" s="51" t="s">
        <v>148</v>
      </c>
      <c r="C29" s="176">
        <v>0.1111</v>
      </c>
      <c r="D29" s="84">
        <f>(D25)*C29</f>
        <v>2220.61</v>
      </c>
      <c r="E29" s="130">
        <f>(E25)*C29</f>
        <v>2220.61</v>
      </c>
    </row>
    <row r="30" spans="1:5" x14ac:dyDescent="0.25">
      <c r="A30" s="418" t="s">
        <v>27</v>
      </c>
      <c r="B30" s="419"/>
      <c r="C30" s="177">
        <f>SUM(C28:C29)</f>
        <v>0.19439999999999999</v>
      </c>
      <c r="D30" s="86">
        <f>SUM(D28:D29)</f>
        <v>3885.57</v>
      </c>
      <c r="E30" s="131">
        <f>SUM(E28:E29)</f>
        <v>3885.57</v>
      </c>
    </row>
    <row r="31" spans="1:5" ht="32.25" customHeight="1" x14ac:dyDescent="0.25">
      <c r="A31" s="469" t="s">
        <v>206</v>
      </c>
      <c r="B31" s="470"/>
      <c r="C31" s="470"/>
      <c r="D31" s="481"/>
      <c r="E31" s="471"/>
    </row>
    <row r="32" spans="1:5" x14ac:dyDescent="0.25">
      <c r="A32" s="300" t="s">
        <v>215</v>
      </c>
      <c r="B32" s="413" t="s">
        <v>25</v>
      </c>
      <c r="C32" s="414"/>
      <c r="D32" s="75" t="s">
        <v>10</v>
      </c>
      <c r="E32" s="137" t="s">
        <v>10</v>
      </c>
    </row>
    <row r="33" spans="1:5" x14ac:dyDescent="0.25">
      <c r="A33" s="50" t="s">
        <v>0</v>
      </c>
      <c r="B33" s="87" t="s">
        <v>207</v>
      </c>
      <c r="C33" s="59">
        <v>0.2</v>
      </c>
      <c r="D33" s="84">
        <f>(D25+D30)*C33</f>
        <v>4774.62</v>
      </c>
      <c r="E33" s="130">
        <f>(E25+E30)*C33</f>
        <v>4774.62</v>
      </c>
    </row>
    <row r="34" spans="1:5" x14ac:dyDescent="0.25">
      <c r="A34" s="50" t="s">
        <v>2</v>
      </c>
      <c r="B34" s="87" t="s">
        <v>208</v>
      </c>
      <c r="C34" s="88">
        <v>1.4999999999999999E-2</v>
      </c>
      <c r="D34" s="84">
        <f>(D25+D30)*C34</f>
        <v>358.1</v>
      </c>
      <c r="E34" s="130">
        <f>(E25+E30)*C34</f>
        <v>358.1</v>
      </c>
    </row>
    <row r="35" spans="1:5" x14ac:dyDescent="0.25">
      <c r="A35" s="50" t="s">
        <v>3</v>
      </c>
      <c r="B35" s="87" t="s">
        <v>209</v>
      </c>
      <c r="C35" s="88">
        <v>0.01</v>
      </c>
      <c r="D35" s="84">
        <f>(D25+D30)*C35</f>
        <v>238.73</v>
      </c>
      <c r="E35" s="130">
        <f>(E25+E30)*C35</f>
        <v>238.73</v>
      </c>
    </row>
    <row r="36" spans="1:5" ht="31.5" x14ac:dyDescent="0.25">
      <c r="A36" s="50" t="s">
        <v>5</v>
      </c>
      <c r="B36" s="299" t="s">
        <v>210</v>
      </c>
      <c r="C36" s="88">
        <v>2E-3</v>
      </c>
      <c r="D36" s="84">
        <f>(D25+D30)*C36</f>
        <v>47.75</v>
      </c>
      <c r="E36" s="130">
        <f>(E25+E30)*C36</f>
        <v>47.75</v>
      </c>
    </row>
    <row r="37" spans="1:5" x14ac:dyDescent="0.25">
      <c r="A37" s="50" t="s">
        <v>20</v>
      </c>
      <c r="B37" s="87" t="s">
        <v>211</v>
      </c>
      <c r="C37" s="88">
        <v>2.5000000000000001E-2</v>
      </c>
      <c r="D37" s="84">
        <f>(D25+D30)*C37</f>
        <v>596.83000000000004</v>
      </c>
      <c r="E37" s="130">
        <f>(E25+E30)*C37</f>
        <v>596.83000000000004</v>
      </c>
    </row>
    <row r="38" spans="1:5" x14ac:dyDescent="0.25">
      <c r="A38" s="50" t="s">
        <v>21</v>
      </c>
      <c r="B38" s="115" t="s">
        <v>212</v>
      </c>
      <c r="C38" s="88">
        <v>0.08</v>
      </c>
      <c r="D38" s="84">
        <f>(D25+D30)*C38</f>
        <v>1909.85</v>
      </c>
      <c r="E38" s="130">
        <f>(E25+E30)*C38</f>
        <v>1909.85</v>
      </c>
    </row>
    <row r="39" spans="1:5" ht="30.75" customHeight="1" x14ac:dyDescent="0.25">
      <c r="A39" s="50" t="s">
        <v>22</v>
      </c>
      <c r="B39" s="299" t="s">
        <v>213</v>
      </c>
      <c r="C39" s="88">
        <v>0.03</v>
      </c>
      <c r="D39" s="84">
        <f>(D25+D30)*C39</f>
        <v>716.19</v>
      </c>
      <c r="E39" s="130">
        <f>(E25+E30)*C39</f>
        <v>716.19</v>
      </c>
    </row>
    <row r="40" spans="1:5" x14ac:dyDescent="0.25">
      <c r="A40" s="50" t="s">
        <v>26</v>
      </c>
      <c r="B40" s="114" t="s">
        <v>214</v>
      </c>
      <c r="C40" s="88">
        <v>6.0000000000000001E-3</v>
      </c>
      <c r="D40" s="84">
        <f>(D25+D30)*C40</f>
        <v>143.24</v>
      </c>
      <c r="E40" s="130">
        <f>(E25+E30)*C40</f>
        <v>143.24</v>
      </c>
    </row>
    <row r="41" spans="1:5" s="30" customFormat="1" x14ac:dyDescent="0.25">
      <c r="A41" s="418" t="s">
        <v>27</v>
      </c>
      <c r="B41" s="419"/>
      <c r="C41" s="60">
        <f>SUM(C33:C40)</f>
        <v>0.36799999999999999</v>
      </c>
      <c r="D41" s="86">
        <f>SUM(D33:D40)</f>
        <v>8785.31</v>
      </c>
      <c r="E41" s="131">
        <f>SUM(E33:E40)</f>
        <v>8785.31</v>
      </c>
    </row>
    <row r="42" spans="1:5" s="30" customFormat="1" x14ac:dyDescent="0.25">
      <c r="A42" s="80" t="s">
        <v>216</v>
      </c>
      <c r="B42" s="427" t="s">
        <v>217</v>
      </c>
      <c r="C42" s="428"/>
      <c r="D42" s="215"/>
      <c r="E42" s="145" t="s">
        <v>10</v>
      </c>
    </row>
    <row r="43" spans="1:5" s="30" customFormat="1" x14ac:dyDescent="0.25">
      <c r="A43" s="98" t="s">
        <v>0</v>
      </c>
      <c r="B43" s="56" t="s">
        <v>144</v>
      </c>
      <c r="C43" s="113"/>
      <c r="D43" s="83">
        <v>0</v>
      </c>
      <c r="E43" s="64">
        <v>0</v>
      </c>
    </row>
    <row r="44" spans="1:5" s="30" customFormat="1" x14ac:dyDescent="0.25">
      <c r="A44" s="48" t="s">
        <v>2</v>
      </c>
      <c r="B44" s="47" t="s">
        <v>218</v>
      </c>
      <c r="C44" s="79"/>
      <c r="D44" s="83">
        <v>0</v>
      </c>
      <c r="E44" s="64">
        <v>0</v>
      </c>
    </row>
    <row r="45" spans="1:5" s="30" customFormat="1" x14ac:dyDescent="0.25">
      <c r="A45" s="50" t="s">
        <v>5</v>
      </c>
      <c r="B45" s="51" t="s">
        <v>134</v>
      </c>
      <c r="C45" s="90"/>
      <c r="D45" s="83">
        <v>0</v>
      </c>
      <c r="E45" s="64">
        <v>0</v>
      </c>
    </row>
    <row r="46" spans="1:5" s="30" customFormat="1" x14ac:dyDescent="0.25">
      <c r="A46" s="50" t="s">
        <v>20</v>
      </c>
      <c r="B46" s="51" t="s">
        <v>135</v>
      </c>
      <c r="C46" s="59"/>
      <c r="D46" s="83">
        <v>0</v>
      </c>
      <c r="E46" s="64">
        <v>0</v>
      </c>
    </row>
    <row r="47" spans="1:5" s="30" customFormat="1" x14ac:dyDescent="0.25">
      <c r="A47" s="50" t="s">
        <v>21</v>
      </c>
      <c r="B47" s="51" t="s">
        <v>136</v>
      </c>
      <c r="C47" s="90"/>
      <c r="D47" s="83">
        <v>0</v>
      </c>
      <c r="E47" s="64">
        <v>0</v>
      </c>
    </row>
    <row r="48" spans="1:5" s="30" customFormat="1" ht="15.75" customHeight="1" x14ac:dyDescent="0.25">
      <c r="A48" s="418" t="s">
        <v>23</v>
      </c>
      <c r="B48" s="419"/>
      <c r="C48" s="419"/>
      <c r="D48" s="86">
        <f>SUM(D43:D47)</f>
        <v>0</v>
      </c>
      <c r="E48" s="131">
        <f>SUM(E43:E47)</f>
        <v>0</v>
      </c>
    </row>
    <row r="49" spans="1:5" s="30" customFormat="1" ht="15.75" customHeight="1" x14ac:dyDescent="0.25">
      <c r="A49" s="402" t="s">
        <v>151</v>
      </c>
      <c r="B49" s="403"/>
      <c r="C49" s="403"/>
      <c r="D49" s="476"/>
      <c r="E49" s="472"/>
    </row>
    <row r="50" spans="1:5" s="30" customFormat="1" ht="15.75" customHeight="1" x14ac:dyDescent="0.25">
      <c r="A50" s="304" t="s">
        <v>141</v>
      </c>
      <c r="B50" s="104" t="s">
        <v>145</v>
      </c>
      <c r="C50" s="305"/>
      <c r="D50" s="69">
        <f>D30</f>
        <v>3885.57</v>
      </c>
      <c r="E50" s="139">
        <f>E30</f>
        <v>3885.57</v>
      </c>
    </row>
    <row r="51" spans="1:5" s="30" customFormat="1" ht="15.75" customHeight="1" x14ac:dyDescent="0.25">
      <c r="A51" s="304" t="s">
        <v>215</v>
      </c>
      <c r="B51" s="104" t="s">
        <v>146</v>
      </c>
      <c r="C51" s="305"/>
      <c r="D51" s="69">
        <f>D41</f>
        <v>8785.31</v>
      </c>
      <c r="E51" s="139">
        <f>E41</f>
        <v>8785.31</v>
      </c>
    </row>
    <row r="52" spans="1:5" s="30" customFormat="1" ht="15.75" customHeight="1" x14ac:dyDescent="0.25">
      <c r="A52" s="304" t="s">
        <v>216</v>
      </c>
      <c r="B52" s="104" t="s">
        <v>147</v>
      </c>
      <c r="C52" s="305"/>
      <c r="D52" s="69">
        <f>D48</f>
        <v>0</v>
      </c>
      <c r="E52" s="139">
        <f>E48</f>
        <v>0</v>
      </c>
    </row>
    <row r="53" spans="1:5" s="30" customFormat="1" ht="15.75" customHeight="1" x14ac:dyDescent="0.25">
      <c r="A53" s="400" t="s">
        <v>153</v>
      </c>
      <c r="B53" s="401"/>
      <c r="C53" s="401"/>
      <c r="D53" s="70">
        <f>SUM(D50:D52)</f>
        <v>12670.88</v>
      </c>
      <c r="E53" s="136">
        <f>SUM(E50:E52)</f>
        <v>12670.88</v>
      </c>
    </row>
    <row r="54" spans="1:5" s="30" customFormat="1" ht="15.75" customHeight="1" x14ac:dyDescent="0.25">
      <c r="A54" s="402" t="s">
        <v>162</v>
      </c>
      <c r="B54" s="403"/>
      <c r="C54" s="403"/>
      <c r="D54" s="476"/>
      <c r="E54" s="472"/>
    </row>
    <row r="55" spans="1:5" s="30" customFormat="1" ht="15.75" customHeight="1" x14ac:dyDescent="0.25">
      <c r="A55" s="302" t="s">
        <v>200</v>
      </c>
      <c r="B55" s="396" t="s">
        <v>32</v>
      </c>
      <c r="C55" s="397"/>
      <c r="D55" s="74" t="s">
        <v>10</v>
      </c>
      <c r="E55" s="138" t="s">
        <v>10</v>
      </c>
    </row>
    <row r="56" spans="1:5" s="30" customFormat="1" ht="15.75" customHeight="1" x14ac:dyDescent="0.25">
      <c r="A56" s="50" t="s">
        <v>0</v>
      </c>
      <c r="B56" s="51" t="s">
        <v>33</v>
      </c>
      <c r="C56" s="59">
        <v>4.5999999999999999E-3</v>
      </c>
      <c r="D56" s="84">
        <f>D$25*C56</f>
        <v>91.94</v>
      </c>
      <c r="E56" s="130">
        <f>E$25*C56</f>
        <v>91.94</v>
      </c>
    </row>
    <row r="57" spans="1:5" s="30" customFormat="1" ht="15.75" customHeight="1" x14ac:dyDescent="0.25">
      <c r="A57" s="50" t="s">
        <v>2</v>
      </c>
      <c r="B57" s="51" t="s">
        <v>34</v>
      </c>
      <c r="C57" s="59">
        <v>4.0000000000000002E-4</v>
      </c>
      <c r="D57" s="84">
        <f>D$25*C57</f>
        <v>8</v>
      </c>
      <c r="E57" s="130">
        <f>E$25*C57</f>
        <v>8</v>
      </c>
    </row>
    <row r="58" spans="1:5" s="30" customFormat="1" ht="15.75" customHeight="1" x14ac:dyDescent="0.25">
      <c r="A58" s="50" t="s">
        <v>3</v>
      </c>
      <c r="B58" s="51" t="s">
        <v>35</v>
      </c>
      <c r="C58" s="59">
        <v>1.9400000000000001E-2</v>
      </c>
      <c r="D58" s="84">
        <f>D$25*C58</f>
        <v>387.76</v>
      </c>
      <c r="E58" s="130">
        <f>E$25*C58</f>
        <v>387.76</v>
      </c>
    </row>
    <row r="59" spans="1:5" s="30" customFormat="1" ht="15.75" customHeight="1" x14ac:dyDescent="0.25">
      <c r="A59" s="50" t="s">
        <v>5</v>
      </c>
      <c r="B59" s="105" t="s">
        <v>174</v>
      </c>
      <c r="C59" s="59">
        <v>7.1000000000000004E-3</v>
      </c>
      <c r="D59" s="84">
        <f>D$25*C59</f>
        <v>141.91</v>
      </c>
      <c r="E59" s="130">
        <f>E$25*C59</f>
        <v>141.91</v>
      </c>
    </row>
    <row r="60" spans="1:5" s="30" customFormat="1" ht="32.25" customHeight="1" x14ac:dyDescent="0.25">
      <c r="A60" s="50" t="s">
        <v>20</v>
      </c>
      <c r="B60" s="51" t="s">
        <v>219</v>
      </c>
      <c r="C60" s="59">
        <v>0.04</v>
      </c>
      <c r="D60" s="84">
        <f>D$25*C60</f>
        <v>799.5</v>
      </c>
      <c r="E60" s="130">
        <f>E$25*C60</f>
        <v>799.5</v>
      </c>
    </row>
    <row r="61" spans="1:5" s="30" customFormat="1" x14ac:dyDescent="0.25">
      <c r="A61" s="400" t="s">
        <v>154</v>
      </c>
      <c r="B61" s="401"/>
      <c r="C61" s="401"/>
      <c r="D61" s="70">
        <f>SUM(D56:D60)</f>
        <v>1429.11</v>
      </c>
      <c r="E61" s="136">
        <f>SUM(E56:E60)</f>
        <v>1429.11</v>
      </c>
    </row>
    <row r="62" spans="1:5" s="30" customFormat="1" x14ac:dyDescent="0.25">
      <c r="A62" s="402" t="s">
        <v>163</v>
      </c>
      <c r="B62" s="403"/>
      <c r="C62" s="403"/>
      <c r="D62" s="476"/>
      <c r="E62" s="472"/>
    </row>
    <row r="63" spans="1:5" s="30" customFormat="1" x14ac:dyDescent="0.25">
      <c r="A63" s="302" t="s">
        <v>199</v>
      </c>
      <c r="B63" s="430" t="s">
        <v>36</v>
      </c>
      <c r="C63" s="430"/>
      <c r="D63" s="74" t="s">
        <v>10</v>
      </c>
      <c r="E63" s="138" t="s">
        <v>10</v>
      </c>
    </row>
    <row r="64" spans="1:5" s="30" customFormat="1" x14ac:dyDescent="0.25">
      <c r="A64" s="50" t="s">
        <v>0</v>
      </c>
      <c r="B64" s="51" t="s">
        <v>192</v>
      </c>
      <c r="C64" s="59">
        <v>9.2999999999999992E-3</v>
      </c>
      <c r="D64" s="84">
        <f t="shared" ref="D64:D69" si="0">(D$25+D$53+D$61+D$84)*C64</f>
        <v>317.35000000000002</v>
      </c>
      <c r="E64" s="130">
        <f t="shared" ref="E64:E69" si="1">(E$25+E$53+E$61+E$84)*C64</f>
        <v>317.35000000000002</v>
      </c>
    </row>
    <row r="65" spans="1:5" s="30" customFormat="1" x14ac:dyDescent="0.25">
      <c r="A65" s="50" t="s">
        <v>2</v>
      </c>
      <c r="B65" s="51" t="s">
        <v>193</v>
      </c>
      <c r="C65" s="59">
        <v>1.66E-2</v>
      </c>
      <c r="D65" s="84">
        <f t="shared" si="0"/>
        <v>566.46</v>
      </c>
      <c r="E65" s="130">
        <f t="shared" si="1"/>
        <v>566.46</v>
      </c>
    </row>
    <row r="66" spans="1:5" s="30" customFormat="1" x14ac:dyDescent="0.25">
      <c r="A66" s="50" t="s">
        <v>3</v>
      </c>
      <c r="B66" s="51" t="s">
        <v>194</v>
      </c>
      <c r="C66" s="59">
        <v>2.0000000000000001E-4</v>
      </c>
      <c r="D66" s="84">
        <f t="shared" si="0"/>
        <v>6.82</v>
      </c>
      <c r="E66" s="130">
        <f t="shared" si="1"/>
        <v>6.82</v>
      </c>
    </row>
    <row r="67" spans="1:5" s="30" customFormat="1" x14ac:dyDescent="0.25">
      <c r="A67" s="50" t="s">
        <v>5</v>
      </c>
      <c r="B67" s="51" t="s">
        <v>195</v>
      </c>
      <c r="C67" s="59">
        <v>2.7000000000000001E-3</v>
      </c>
      <c r="D67" s="84">
        <f t="shared" si="0"/>
        <v>92.14</v>
      </c>
      <c r="E67" s="130">
        <f t="shared" si="1"/>
        <v>92.14</v>
      </c>
    </row>
    <row r="68" spans="1:5" s="30" customFormat="1" x14ac:dyDescent="0.25">
      <c r="A68" s="50" t="s">
        <v>20</v>
      </c>
      <c r="B68" s="51" t="s">
        <v>196</v>
      </c>
      <c r="C68" s="59">
        <v>2.9999999999999997E-4</v>
      </c>
      <c r="D68" s="84">
        <f t="shared" si="0"/>
        <v>10.24</v>
      </c>
      <c r="E68" s="130">
        <f t="shared" si="1"/>
        <v>10.24</v>
      </c>
    </row>
    <row r="69" spans="1:5" s="30" customFormat="1" ht="15.75" customHeight="1" x14ac:dyDescent="0.25">
      <c r="A69" s="50" t="s">
        <v>21</v>
      </c>
      <c r="B69" s="303" t="s">
        <v>197</v>
      </c>
      <c r="C69" s="59">
        <v>0</v>
      </c>
      <c r="D69" s="84">
        <f t="shared" si="0"/>
        <v>0</v>
      </c>
      <c r="E69" s="130">
        <f t="shared" si="1"/>
        <v>0</v>
      </c>
    </row>
    <row r="70" spans="1:5" s="30" customFormat="1" x14ac:dyDescent="0.25">
      <c r="A70" s="418" t="s">
        <v>29</v>
      </c>
      <c r="B70" s="419"/>
      <c r="C70" s="60">
        <f>SUM(C64:C69)</f>
        <v>2.9100000000000001E-2</v>
      </c>
      <c r="D70" s="86">
        <f>SUM(D64:D69)</f>
        <v>993.01</v>
      </c>
      <c r="E70" s="131">
        <f>SUM(E64:E69)</f>
        <v>993.01</v>
      </c>
    </row>
    <row r="71" spans="1:5" s="30" customFormat="1" x14ac:dyDescent="0.25">
      <c r="A71" s="304"/>
      <c r="B71" s="305"/>
      <c r="C71" s="78"/>
      <c r="D71" s="216"/>
      <c r="E71" s="129"/>
    </row>
    <row r="72" spans="1:5" s="30" customFormat="1" x14ac:dyDescent="0.25">
      <c r="A72" s="304"/>
      <c r="B72" s="420" t="s">
        <v>201</v>
      </c>
      <c r="C72" s="429"/>
      <c r="D72" s="74" t="s">
        <v>10</v>
      </c>
      <c r="E72" s="138" t="s">
        <v>10</v>
      </c>
    </row>
    <row r="73" spans="1:5" s="30" customFormat="1" x14ac:dyDescent="0.25">
      <c r="A73" s="48" t="s">
        <v>0</v>
      </c>
      <c r="B73" s="298" t="s">
        <v>202</v>
      </c>
      <c r="C73" s="165">
        <v>0</v>
      </c>
      <c r="D73" s="223">
        <v>0</v>
      </c>
      <c r="E73" s="180">
        <v>0</v>
      </c>
    </row>
    <row r="74" spans="1:5" s="30" customFormat="1" ht="15.75" customHeight="1" x14ac:dyDescent="0.25">
      <c r="A74" s="418" t="s">
        <v>27</v>
      </c>
      <c r="B74" s="419"/>
      <c r="C74" s="101">
        <v>0</v>
      </c>
      <c r="D74" s="86">
        <f>D73</f>
        <v>0</v>
      </c>
      <c r="E74" s="131">
        <f>E73</f>
        <v>0</v>
      </c>
    </row>
    <row r="75" spans="1:5" s="30" customFormat="1" ht="15.75" customHeight="1" x14ac:dyDescent="0.25">
      <c r="A75" s="402" t="s">
        <v>30</v>
      </c>
      <c r="B75" s="403"/>
      <c r="C75" s="403"/>
      <c r="D75" s="476"/>
      <c r="E75" s="472"/>
    </row>
    <row r="76" spans="1:5" s="30" customFormat="1" ht="15.75" customHeight="1" x14ac:dyDescent="0.25">
      <c r="A76" s="431" t="s">
        <v>203</v>
      </c>
      <c r="B76" s="432"/>
      <c r="C76" s="432"/>
      <c r="D76" s="479"/>
      <c r="E76" s="480"/>
    </row>
    <row r="77" spans="1:5" s="30" customFormat="1" ht="15.75" customHeight="1" x14ac:dyDescent="0.25">
      <c r="A77" s="302">
        <v>4</v>
      </c>
      <c r="B77" s="396" t="s">
        <v>220</v>
      </c>
      <c r="C77" s="397"/>
      <c r="D77" s="74" t="s">
        <v>10</v>
      </c>
      <c r="E77" s="138" t="s">
        <v>10</v>
      </c>
    </row>
    <row r="78" spans="1:5" s="30" customFormat="1" ht="15.75" customHeight="1" x14ac:dyDescent="0.25">
      <c r="A78" s="50" t="s">
        <v>199</v>
      </c>
      <c r="B78" s="51" t="s">
        <v>198</v>
      </c>
      <c r="C78" s="59">
        <f>C70</f>
        <v>2.9100000000000001E-2</v>
      </c>
      <c r="D78" s="84">
        <f>D70</f>
        <v>993.01</v>
      </c>
      <c r="E78" s="130">
        <f>E70</f>
        <v>993.01</v>
      </c>
    </row>
    <row r="79" spans="1:5" s="30" customFormat="1" ht="15.75" customHeight="1" x14ac:dyDescent="0.25">
      <c r="A79" s="50" t="s">
        <v>221</v>
      </c>
      <c r="B79" s="51" t="s">
        <v>201</v>
      </c>
      <c r="C79" s="59">
        <v>0</v>
      </c>
      <c r="D79" s="84">
        <f>(D$25+D$53+D$61)*C79</f>
        <v>0</v>
      </c>
      <c r="E79" s="130">
        <f>(E$25+E$53+E$61)*C79</f>
        <v>0</v>
      </c>
    </row>
    <row r="80" spans="1:5" s="30" customFormat="1" ht="15.75" customHeight="1" x14ac:dyDescent="0.25">
      <c r="A80" s="418" t="s">
        <v>27</v>
      </c>
      <c r="B80" s="419"/>
      <c r="C80" s="99">
        <f>SUM(C78:C79)</f>
        <v>2.9100000000000001E-2</v>
      </c>
      <c r="D80" s="86">
        <f>SUM(D78:D79)</f>
        <v>993.01</v>
      </c>
      <c r="E80" s="131">
        <f>SUM(E78:E79)</f>
        <v>993.01</v>
      </c>
    </row>
    <row r="81" spans="1:5" s="30" customFormat="1" ht="15.75" customHeight="1" x14ac:dyDescent="0.25">
      <c r="A81" s="400" t="s">
        <v>155</v>
      </c>
      <c r="B81" s="401"/>
      <c r="C81" s="401"/>
      <c r="D81" s="70">
        <f>SUM(D74+D80)</f>
        <v>993.01</v>
      </c>
      <c r="E81" s="136">
        <f>SUM(E74+E80)</f>
        <v>993.01</v>
      </c>
    </row>
    <row r="82" spans="1:5" s="30" customFormat="1" ht="15.75" customHeight="1" x14ac:dyDescent="0.25">
      <c r="A82" s="398" t="s">
        <v>164</v>
      </c>
      <c r="B82" s="399"/>
      <c r="C82" s="399"/>
      <c r="D82" s="477"/>
      <c r="E82" s="478"/>
    </row>
    <row r="83" spans="1:5" s="30" customFormat="1" ht="15.75" customHeight="1" x14ac:dyDescent="0.25">
      <c r="A83" s="302">
        <v>5</v>
      </c>
      <c r="B83" s="396" t="s">
        <v>24</v>
      </c>
      <c r="C83" s="397"/>
      <c r="D83" s="74" t="s">
        <v>10</v>
      </c>
      <c r="E83" s="138" t="s">
        <v>10</v>
      </c>
    </row>
    <row r="84" spans="1:5" s="30" customFormat="1" ht="15.75" customHeight="1" x14ac:dyDescent="0.25">
      <c r="A84" s="50" t="s">
        <v>0</v>
      </c>
      <c r="B84" s="395" t="s">
        <v>222</v>
      </c>
      <c r="C84" s="395"/>
      <c r="D84" s="84">
        <f>Uniformes!H7</f>
        <v>36.619999999999997</v>
      </c>
      <c r="E84" s="130">
        <f>Uniformes!H7</f>
        <v>36.619999999999997</v>
      </c>
    </row>
    <row r="85" spans="1:5" s="30" customFormat="1" ht="15.75" customHeight="1" x14ac:dyDescent="0.25">
      <c r="A85" s="50" t="s">
        <v>2</v>
      </c>
      <c r="B85" s="395" t="s">
        <v>223</v>
      </c>
      <c r="C85" s="395"/>
      <c r="D85" s="84">
        <f>Materiais!H20</f>
        <v>44.57</v>
      </c>
      <c r="E85" s="130">
        <f>Materiais!H21</f>
        <v>44.57</v>
      </c>
    </row>
    <row r="86" spans="1:5" s="30" customFormat="1" ht="15.75" customHeight="1" x14ac:dyDescent="0.25">
      <c r="A86" s="50" t="s">
        <v>3</v>
      </c>
      <c r="B86" s="395" t="s">
        <v>187</v>
      </c>
      <c r="C86" s="395"/>
      <c r="D86" s="81">
        <f>Equipamentos!H20</f>
        <v>922.4</v>
      </c>
      <c r="E86" s="129">
        <f>Equipamentos!H21</f>
        <v>922.4</v>
      </c>
    </row>
    <row r="87" spans="1:5" s="30" customFormat="1" ht="15.75" customHeight="1" x14ac:dyDescent="0.25">
      <c r="A87" s="50" t="s">
        <v>5</v>
      </c>
      <c r="B87" s="395" t="s">
        <v>137</v>
      </c>
      <c r="C87" s="395"/>
      <c r="D87" s="84">
        <v>0</v>
      </c>
      <c r="E87" s="130">
        <v>0</v>
      </c>
    </row>
    <row r="88" spans="1:5" s="30" customFormat="1" ht="15.75" customHeight="1" x14ac:dyDescent="0.25">
      <c r="A88" s="400" t="s">
        <v>156</v>
      </c>
      <c r="B88" s="401"/>
      <c r="C88" s="401"/>
      <c r="D88" s="70">
        <f>SUM(D84:D87)</f>
        <v>1003.59</v>
      </c>
      <c r="E88" s="136">
        <f>SUM(E84:E87)</f>
        <v>1003.59</v>
      </c>
    </row>
    <row r="89" spans="1:5" s="30" customFormat="1" ht="30" customHeight="1" x14ac:dyDescent="0.25">
      <c r="A89" s="398" t="s">
        <v>37</v>
      </c>
      <c r="B89" s="399"/>
      <c r="C89" s="399"/>
      <c r="D89" s="167">
        <f>D88+D81+D61+D53+D25</f>
        <v>36084.11</v>
      </c>
      <c r="E89" s="140">
        <f>E88+E81+E61+E53+E25</f>
        <v>36084.11</v>
      </c>
    </row>
    <row r="90" spans="1:5" s="30" customFormat="1" ht="19.5" customHeight="1" x14ac:dyDescent="0.25">
      <c r="A90" s="402" t="s">
        <v>165</v>
      </c>
      <c r="B90" s="403"/>
      <c r="C90" s="403"/>
      <c r="D90" s="476"/>
      <c r="E90" s="472"/>
    </row>
    <row r="91" spans="1:5" s="30" customFormat="1" x14ac:dyDescent="0.25">
      <c r="A91" s="302">
        <v>5</v>
      </c>
      <c r="B91" s="396" t="s">
        <v>38</v>
      </c>
      <c r="C91" s="412"/>
      <c r="D91" s="74" t="s">
        <v>10</v>
      </c>
      <c r="E91" s="138" t="s">
        <v>10</v>
      </c>
    </row>
    <row r="92" spans="1:5" s="30" customFormat="1" x14ac:dyDescent="0.25">
      <c r="A92" s="302" t="s">
        <v>0</v>
      </c>
      <c r="B92" s="51" t="s">
        <v>39</v>
      </c>
      <c r="C92" s="59">
        <v>0.03</v>
      </c>
      <c r="D92" s="84">
        <f>D89*C92</f>
        <v>1082.52</v>
      </c>
      <c r="E92" s="130">
        <f>E89*C92</f>
        <v>1082.52</v>
      </c>
    </row>
    <row r="93" spans="1:5" s="30" customFormat="1" x14ac:dyDescent="0.25">
      <c r="A93" s="302" t="s">
        <v>2</v>
      </c>
      <c r="B93" s="51" t="s">
        <v>40</v>
      </c>
      <c r="C93" s="59">
        <v>6.7900000000000002E-2</v>
      </c>
      <c r="D93" s="84">
        <f>C93*(D89+D92)</f>
        <v>2523.61</v>
      </c>
      <c r="E93" s="130">
        <f>C93*(E89+E92)</f>
        <v>2523.61</v>
      </c>
    </row>
    <row r="94" spans="1:5" s="30" customFormat="1" ht="31.5" x14ac:dyDescent="0.25">
      <c r="A94" s="422" t="s">
        <v>3</v>
      </c>
      <c r="B94" s="51" t="s">
        <v>50</v>
      </c>
      <c r="C94" s="59">
        <f>1-C102</f>
        <v>0.85750000000000004</v>
      </c>
      <c r="D94" s="84">
        <f>D89+D92+D93</f>
        <v>39690.239999999998</v>
      </c>
      <c r="E94" s="130">
        <f>E89+E92+E93</f>
        <v>39690.239999999998</v>
      </c>
    </row>
    <row r="95" spans="1:5" s="30" customFormat="1" x14ac:dyDescent="0.25">
      <c r="A95" s="422"/>
      <c r="B95" s="303" t="s">
        <v>41</v>
      </c>
      <c r="C95" s="95"/>
      <c r="D95" s="168">
        <f>+D94/C94</f>
        <v>46285.99</v>
      </c>
      <c r="E95" s="141">
        <f>+E94/C94</f>
        <v>46285.99</v>
      </c>
    </row>
    <row r="96" spans="1:5" s="30" customFormat="1" x14ac:dyDescent="0.25">
      <c r="A96" s="422"/>
      <c r="B96" s="303" t="s">
        <v>42</v>
      </c>
      <c r="C96" s="72"/>
      <c r="D96" s="84"/>
      <c r="E96" s="130"/>
    </row>
    <row r="97" spans="1:5" s="30" customFormat="1" x14ac:dyDescent="0.25">
      <c r="A97" s="422"/>
      <c r="B97" s="51" t="s">
        <v>130</v>
      </c>
      <c r="C97" s="59">
        <v>1.6500000000000001E-2</v>
      </c>
      <c r="D97" s="84">
        <f>+D95*C97</f>
        <v>763.72</v>
      </c>
      <c r="E97" s="130">
        <f>+E95*C97</f>
        <v>763.72</v>
      </c>
    </row>
    <row r="98" spans="1:5" s="30" customFormat="1" x14ac:dyDescent="0.25">
      <c r="A98" s="422"/>
      <c r="B98" s="51" t="s">
        <v>131</v>
      </c>
      <c r="C98" s="59">
        <v>7.5999999999999998E-2</v>
      </c>
      <c r="D98" s="84">
        <f>+D95*C98</f>
        <v>3517.74</v>
      </c>
      <c r="E98" s="130">
        <f>+E95*C98</f>
        <v>3517.74</v>
      </c>
    </row>
    <row r="99" spans="1:5" s="30" customFormat="1" x14ac:dyDescent="0.25">
      <c r="A99" s="422"/>
      <c r="B99" s="53" t="s">
        <v>43</v>
      </c>
      <c r="C99" s="95"/>
      <c r="D99" s="84"/>
      <c r="E99" s="130"/>
    </row>
    <row r="100" spans="1:5" s="30" customFormat="1" x14ac:dyDescent="0.25">
      <c r="A100" s="422"/>
      <c r="B100" s="53" t="s">
        <v>44</v>
      </c>
      <c r="C100" s="102"/>
      <c r="D100" s="84"/>
      <c r="E100" s="130"/>
    </row>
    <row r="101" spans="1:5" s="30" customFormat="1" x14ac:dyDescent="0.25">
      <c r="A101" s="422"/>
      <c r="B101" s="51" t="s">
        <v>142</v>
      </c>
      <c r="C101" s="59">
        <v>0.05</v>
      </c>
      <c r="D101" s="84">
        <f>+D95*C101</f>
        <v>2314.3000000000002</v>
      </c>
      <c r="E101" s="130">
        <f>+E95*C101</f>
        <v>2314.3000000000002</v>
      </c>
    </row>
    <row r="102" spans="1:5" s="30" customFormat="1" x14ac:dyDescent="0.25">
      <c r="A102" s="302"/>
      <c r="B102" s="106" t="s">
        <v>45</v>
      </c>
      <c r="C102" s="107">
        <f>SUM(C97:C101)</f>
        <v>0.14249999999999999</v>
      </c>
      <c r="D102" s="108">
        <f>SUM(D97:D101)</f>
        <v>6595.76</v>
      </c>
      <c r="E102" s="143">
        <f>SUM(E97:E101)</f>
        <v>6595.76</v>
      </c>
    </row>
    <row r="103" spans="1:5" s="30" customFormat="1" ht="15.75" customHeight="1" x14ac:dyDescent="0.25">
      <c r="A103" s="418" t="s">
        <v>46</v>
      </c>
      <c r="B103" s="419"/>
      <c r="C103" s="419"/>
      <c r="D103" s="86">
        <f>+D92+D93+D102</f>
        <v>10201.89</v>
      </c>
      <c r="E103" s="131">
        <f>+E92+E93+E102</f>
        <v>10201.89</v>
      </c>
    </row>
    <row r="104" spans="1:5" s="30" customFormat="1" ht="15.75" customHeight="1" x14ac:dyDescent="0.25">
      <c r="A104" s="423" t="s">
        <v>47</v>
      </c>
      <c r="B104" s="424"/>
      <c r="C104" s="424"/>
      <c r="D104" s="76" t="s">
        <v>10</v>
      </c>
      <c r="E104" s="179" t="s">
        <v>10</v>
      </c>
    </row>
    <row r="105" spans="1:5" s="30" customFormat="1" x14ac:dyDescent="0.25">
      <c r="A105" s="50" t="s">
        <v>0</v>
      </c>
      <c r="B105" s="425" t="s">
        <v>48</v>
      </c>
      <c r="C105" s="425"/>
      <c r="D105" s="84">
        <f>D25</f>
        <v>19987.52</v>
      </c>
      <c r="E105" s="130">
        <f>E25</f>
        <v>19987.52</v>
      </c>
    </row>
    <row r="106" spans="1:5" s="30" customFormat="1" x14ac:dyDescent="0.25">
      <c r="A106" s="50" t="s">
        <v>2</v>
      </c>
      <c r="B106" s="425" t="s">
        <v>159</v>
      </c>
      <c r="C106" s="425"/>
      <c r="D106" s="84">
        <f>D53</f>
        <v>12670.88</v>
      </c>
      <c r="E106" s="130">
        <f>E53</f>
        <v>12670.88</v>
      </c>
    </row>
    <row r="107" spans="1:5" s="30" customFormat="1" x14ac:dyDescent="0.25">
      <c r="A107" s="50" t="s">
        <v>3</v>
      </c>
      <c r="B107" s="425" t="s">
        <v>157</v>
      </c>
      <c r="C107" s="425"/>
      <c r="D107" s="84">
        <f>D61</f>
        <v>1429.11</v>
      </c>
      <c r="E107" s="130">
        <f>E61</f>
        <v>1429.11</v>
      </c>
    </row>
    <row r="108" spans="1:5" s="30" customFormat="1" x14ac:dyDescent="0.25">
      <c r="A108" s="50" t="s">
        <v>5</v>
      </c>
      <c r="B108" s="474" t="s">
        <v>150</v>
      </c>
      <c r="C108" s="475"/>
      <c r="D108" s="84">
        <f>D81</f>
        <v>993.01</v>
      </c>
      <c r="E108" s="130">
        <f>E81</f>
        <v>993.01</v>
      </c>
    </row>
    <row r="109" spans="1:5" s="30" customFormat="1" x14ac:dyDescent="0.25">
      <c r="A109" s="50" t="s">
        <v>20</v>
      </c>
      <c r="B109" s="474" t="s">
        <v>158</v>
      </c>
      <c r="C109" s="475"/>
      <c r="D109" s="84">
        <f>D88</f>
        <v>1003.59</v>
      </c>
      <c r="E109" s="130">
        <f>E88</f>
        <v>1003.59</v>
      </c>
    </row>
    <row r="110" spans="1:5" s="30" customFormat="1" ht="15.75" customHeight="1" x14ac:dyDescent="0.25">
      <c r="A110" s="422" t="s">
        <v>160</v>
      </c>
      <c r="B110" s="426"/>
      <c r="C110" s="426"/>
      <c r="D110" s="108">
        <f>SUM(D105:D109)</f>
        <v>36084.11</v>
      </c>
      <c r="E110" s="143">
        <f>SUM(E105:E109)</f>
        <v>36084.11</v>
      </c>
    </row>
    <row r="111" spans="1:5" s="30" customFormat="1" x14ac:dyDescent="0.25">
      <c r="A111" s="302" t="s">
        <v>20</v>
      </c>
      <c r="B111" s="425" t="s">
        <v>161</v>
      </c>
      <c r="C111" s="425"/>
      <c r="D111" s="84">
        <f>+D103</f>
        <v>10201.89</v>
      </c>
      <c r="E111" s="130">
        <f>+E103</f>
        <v>10201.89</v>
      </c>
    </row>
    <row r="112" spans="1:5" s="30" customFormat="1" ht="16.5" customHeight="1" thickBot="1" x14ac:dyDescent="0.3">
      <c r="A112" s="492" t="s">
        <v>49</v>
      </c>
      <c r="B112" s="493"/>
      <c r="C112" s="493"/>
      <c r="D112" s="224">
        <f>+D110+D111</f>
        <v>46286</v>
      </c>
      <c r="E112" s="225">
        <f>+E110+E111</f>
        <v>46286</v>
      </c>
    </row>
    <row r="113" spans="1:5" ht="16.5" thickBot="1" x14ac:dyDescent="0.3">
      <c r="A113" s="509" t="s">
        <v>234</v>
      </c>
      <c r="B113" s="510"/>
      <c r="C113" s="510"/>
      <c r="D113" s="510"/>
      <c r="E113" s="511"/>
    </row>
    <row r="114" spans="1:5" ht="15.75" customHeight="1" x14ac:dyDescent="0.25">
      <c r="A114" s="500" t="s">
        <v>297</v>
      </c>
      <c r="B114" s="501"/>
      <c r="C114" s="501"/>
      <c r="D114" s="501"/>
      <c r="E114" s="502"/>
    </row>
    <row r="115" spans="1:5" x14ac:dyDescent="0.25">
      <c r="A115" s="503"/>
      <c r="B115" s="504"/>
      <c r="C115" s="504"/>
      <c r="D115" s="504"/>
      <c r="E115" s="505"/>
    </row>
    <row r="116" spans="1:5" x14ac:dyDescent="0.25">
      <c r="A116" s="503"/>
      <c r="B116" s="504"/>
      <c r="C116" s="504"/>
      <c r="D116" s="504"/>
      <c r="E116" s="505"/>
    </row>
    <row r="117" spans="1:5" x14ac:dyDescent="0.25">
      <c r="A117" s="503"/>
      <c r="B117" s="504"/>
      <c r="C117" s="504"/>
      <c r="D117" s="504"/>
      <c r="E117" s="505"/>
    </row>
    <row r="118" spans="1:5" x14ac:dyDescent="0.25">
      <c r="A118" s="503"/>
      <c r="B118" s="504"/>
      <c r="C118" s="504"/>
      <c r="D118" s="504"/>
      <c r="E118" s="505"/>
    </row>
    <row r="119" spans="1:5" x14ac:dyDescent="0.25">
      <c r="A119" s="503"/>
      <c r="B119" s="504"/>
      <c r="C119" s="504"/>
      <c r="D119" s="504"/>
      <c r="E119" s="505"/>
    </row>
    <row r="120" spans="1:5" x14ac:dyDescent="0.25">
      <c r="A120" s="503"/>
      <c r="B120" s="504"/>
      <c r="C120" s="504"/>
      <c r="D120" s="504"/>
      <c r="E120" s="505"/>
    </row>
    <row r="121" spans="1:5" x14ac:dyDescent="0.25">
      <c r="A121" s="503"/>
      <c r="B121" s="504"/>
      <c r="C121" s="504"/>
      <c r="D121" s="504"/>
      <c r="E121" s="505"/>
    </row>
    <row r="122" spans="1:5" ht="16.5" thickBot="1" x14ac:dyDescent="0.3">
      <c r="A122" s="506"/>
      <c r="B122" s="507"/>
      <c r="C122" s="507"/>
      <c r="D122" s="507"/>
      <c r="E122" s="508"/>
    </row>
    <row r="124" spans="1:5" x14ac:dyDescent="0.25">
      <c r="B124" s="28"/>
    </row>
  </sheetData>
  <mergeCells count="65">
    <mergeCell ref="A114:E122"/>
    <mergeCell ref="C6:E6"/>
    <mergeCell ref="A1:E1"/>
    <mergeCell ref="A2:E2"/>
    <mergeCell ref="A3:E3"/>
    <mergeCell ref="C4:E4"/>
    <mergeCell ref="C5:E5"/>
    <mergeCell ref="A26:C26"/>
    <mergeCell ref="C7:E7"/>
    <mergeCell ref="A8:E8"/>
    <mergeCell ref="A9:E9"/>
    <mergeCell ref="A10:E10"/>
    <mergeCell ref="A11:C11"/>
    <mergeCell ref="C12:E12"/>
    <mergeCell ref="C14:E14"/>
    <mergeCell ref="C15:E15"/>
    <mergeCell ref="A16:C16"/>
    <mergeCell ref="B17:C17"/>
    <mergeCell ref="A25:C25"/>
    <mergeCell ref="C13:E13"/>
    <mergeCell ref="D11:E11"/>
    <mergeCell ref="A61:C61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54:E54"/>
    <mergeCell ref="B55:C55"/>
    <mergeCell ref="B83:C83"/>
    <mergeCell ref="A62:E62"/>
    <mergeCell ref="B63:C63"/>
    <mergeCell ref="A70:B70"/>
    <mergeCell ref="B72:C72"/>
    <mergeCell ref="A74:B74"/>
    <mergeCell ref="A75:E75"/>
    <mergeCell ref="A76:E76"/>
    <mergeCell ref="B77:C77"/>
    <mergeCell ref="A80:B80"/>
    <mergeCell ref="A81:C81"/>
    <mergeCell ref="A82:E82"/>
    <mergeCell ref="B105:C105"/>
    <mergeCell ref="B84:C84"/>
    <mergeCell ref="B85:C85"/>
    <mergeCell ref="B86:C86"/>
    <mergeCell ref="B87:C87"/>
    <mergeCell ref="A88:C88"/>
    <mergeCell ref="A89:C89"/>
    <mergeCell ref="A90:E90"/>
    <mergeCell ref="B91:C91"/>
    <mergeCell ref="A94:A101"/>
    <mergeCell ref="A103:C103"/>
    <mergeCell ref="A104:C104"/>
    <mergeCell ref="A112:C112"/>
    <mergeCell ref="A113:E113"/>
    <mergeCell ref="B106:C106"/>
    <mergeCell ref="B107:C107"/>
    <mergeCell ref="B108:C108"/>
    <mergeCell ref="B109:C109"/>
    <mergeCell ref="A110:C110"/>
    <mergeCell ref="B111:C111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view="pageBreakPreview" zoomScaleNormal="100" zoomScaleSheetLayoutView="100" workbookViewId="0">
      <selection activeCell="A24" sqref="A24:H24"/>
    </sheetView>
  </sheetViews>
  <sheetFormatPr defaultRowHeight="15" x14ac:dyDescent="0.25"/>
  <cols>
    <col min="1" max="1" width="8.7109375" customWidth="1"/>
    <col min="2" max="2" width="30.7109375" customWidth="1"/>
    <col min="3" max="8" width="15.7109375" customWidth="1"/>
  </cols>
  <sheetData>
    <row r="1" spans="1:8" ht="15" customHeight="1" thickBot="1" x14ac:dyDescent="0.3">
      <c r="A1" s="515" t="s">
        <v>230</v>
      </c>
      <c r="B1" s="516"/>
      <c r="C1" s="516"/>
      <c r="D1" s="516"/>
      <c r="E1" s="516"/>
      <c r="F1" s="516"/>
      <c r="G1" s="516"/>
      <c r="H1" s="517"/>
    </row>
    <row r="2" spans="1:8" ht="15" customHeight="1" x14ac:dyDescent="0.25">
      <c r="A2" s="234" t="s">
        <v>166</v>
      </c>
      <c r="B2" s="235" t="s">
        <v>186</v>
      </c>
      <c r="C2" s="235" t="s">
        <v>269</v>
      </c>
      <c r="D2" s="235" t="s">
        <v>168</v>
      </c>
      <c r="E2" s="235" t="s">
        <v>168</v>
      </c>
      <c r="F2" s="235" t="s">
        <v>169</v>
      </c>
      <c r="G2" s="235" t="s">
        <v>226</v>
      </c>
      <c r="H2" s="236" t="s">
        <v>172</v>
      </c>
    </row>
    <row r="3" spans="1:8" ht="15" customHeight="1" x14ac:dyDescent="0.25">
      <c r="A3" s="254">
        <v>1</v>
      </c>
      <c r="B3" s="255" t="s">
        <v>270</v>
      </c>
      <c r="C3" s="255" t="s">
        <v>271</v>
      </c>
      <c r="D3" s="255">
        <v>2</v>
      </c>
      <c r="E3" s="255">
        <f>D3*2</f>
        <v>4</v>
      </c>
      <c r="F3" s="256">
        <v>47.92</v>
      </c>
      <c r="G3" s="257">
        <f>F3*E3</f>
        <v>191.68</v>
      </c>
      <c r="H3" s="258">
        <f>G3/12</f>
        <v>15.97</v>
      </c>
    </row>
    <row r="4" spans="1:8" ht="15" customHeight="1" x14ac:dyDescent="0.25">
      <c r="A4" s="254">
        <f>A3+1</f>
        <v>2</v>
      </c>
      <c r="B4" s="259" t="s">
        <v>272</v>
      </c>
      <c r="C4" s="255" t="s">
        <v>271</v>
      </c>
      <c r="D4" s="260">
        <v>2</v>
      </c>
      <c r="E4" s="255">
        <f t="shared" ref="E4:E6" si="0">D4*2</f>
        <v>4</v>
      </c>
      <c r="F4" s="257">
        <v>36.46</v>
      </c>
      <c r="G4" s="257">
        <f>F4*E4</f>
        <v>145.84</v>
      </c>
      <c r="H4" s="258">
        <f>G4/12</f>
        <v>12.15</v>
      </c>
    </row>
    <row r="5" spans="1:8" ht="15" customHeight="1" x14ac:dyDescent="0.25">
      <c r="A5" s="254">
        <f>A4+1</f>
        <v>3</v>
      </c>
      <c r="B5" s="259" t="s">
        <v>273</v>
      </c>
      <c r="C5" s="255" t="s">
        <v>271</v>
      </c>
      <c r="D5" s="260">
        <v>1</v>
      </c>
      <c r="E5" s="255">
        <f t="shared" si="0"/>
        <v>2</v>
      </c>
      <c r="F5" s="257">
        <v>2.98</v>
      </c>
      <c r="G5" s="257">
        <f>F5*E5</f>
        <v>5.96</v>
      </c>
      <c r="H5" s="258">
        <f>G5/12</f>
        <v>0.5</v>
      </c>
    </row>
    <row r="6" spans="1:8" ht="15" customHeight="1" thickBot="1" x14ac:dyDescent="0.3">
      <c r="A6" s="262">
        <v>4</v>
      </c>
      <c r="B6" s="263" t="s">
        <v>274</v>
      </c>
      <c r="C6" s="264" t="s">
        <v>271</v>
      </c>
      <c r="D6" s="265">
        <v>1</v>
      </c>
      <c r="E6" s="264">
        <f t="shared" si="0"/>
        <v>2</v>
      </c>
      <c r="F6" s="266">
        <v>48</v>
      </c>
      <c r="G6" s="266">
        <f>F6*E6</f>
        <v>96</v>
      </c>
      <c r="H6" s="267">
        <f>G6/12</f>
        <v>8</v>
      </c>
    </row>
    <row r="7" spans="1:8" ht="15" customHeight="1" thickBot="1" x14ac:dyDescent="0.3">
      <c r="A7" s="518" t="s">
        <v>231</v>
      </c>
      <c r="B7" s="519"/>
      <c r="C7" s="519"/>
      <c r="D7" s="519"/>
      <c r="E7" s="519"/>
      <c r="F7" s="520"/>
      <c r="G7" s="520"/>
      <c r="H7" s="261">
        <f>SUM(H3:H6)</f>
        <v>36.619999999999997</v>
      </c>
    </row>
    <row r="8" spans="1:8" ht="15.75" thickBot="1" x14ac:dyDescent="0.3">
      <c r="A8" s="521" t="s">
        <v>250</v>
      </c>
      <c r="B8" s="522"/>
      <c r="C8" s="522"/>
      <c r="D8" s="522"/>
      <c r="E8" s="522"/>
      <c r="F8" s="522"/>
      <c r="G8" s="522"/>
      <c r="H8" s="523"/>
    </row>
    <row r="9" spans="1:8" x14ac:dyDescent="0.25">
      <c r="A9" s="524" t="s">
        <v>278</v>
      </c>
      <c r="B9" s="525"/>
      <c r="C9" s="525"/>
      <c r="D9" s="525"/>
      <c r="E9" s="525"/>
      <c r="F9" s="525"/>
      <c r="G9" s="525"/>
      <c r="H9" s="526"/>
    </row>
    <row r="10" spans="1:8" x14ac:dyDescent="0.25">
      <c r="A10" s="527"/>
      <c r="B10" s="528"/>
      <c r="C10" s="528"/>
      <c r="D10" s="528"/>
      <c r="E10" s="528"/>
      <c r="F10" s="528"/>
      <c r="G10" s="528"/>
      <c r="H10" s="529"/>
    </row>
    <row r="11" spans="1:8" x14ac:dyDescent="0.25">
      <c r="A11" s="527"/>
      <c r="B11" s="528"/>
      <c r="C11" s="528"/>
      <c r="D11" s="528"/>
      <c r="E11" s="528"/>
      <c r="F11" s="528"/>
      <c r="G11" s="528"/>
      <c r="H11" s="529"/>
    </row>
    <row r="12" spans="1:8" x14ac:dyDescent="0.25">
      <c r="A12" s="527"/>
      <c r="B12" s="528"/>
      <c r="C12" s="528"/>
      <c r="D12" s="528"/>
      <c r="E12" s="528"/>
      <c r="F12" s="528"/>
      <c r="G12" s="528"/>
      <c r="H12" s="529"/>
    </row>
    <row r="13" spans="1:8" x14ac:dyDescent="0.25">
      <c r="A13" s="527"/>
      <c r="B13" s="528"/>
      <c r="C13" s="528"/>
      <c r="D13" s="528"/>
      <c r="E13" s="528"/>
      <c r="F13" s="528"/>
      <c r="G13" s="528"/>
      <c r="H13" s="529"/>
    </row>
    <row r="14" spans="1:8" x14ac:dyDescent="0.25">
      <c r="A14" s="527"/>
      <c r="B14" s="528"/>
      <c r="C14" s="528"/>
      <c r="D14" s="528"/>
      <c r="E14" s="528"/>
      <c r="F14" s="528"/>
      <c r="G14" s="528"/>
      <c r="H14" s="529"/>
    </row>
    <row r="15" spans="1:8" x14ac:dyDescent="0.25">
      <c r="A15" s="527"/>
      <c r="B15" s="528"/>
      <c r="C15" s="528"/>
      <c r="D15" s="528"/>
      <c r="E15" s="528"/>
      <c r="F15" s="528"/>
      <c r="G15" s="528"/>
      <c r="H15" s="529"/>
    </row>
    <row r="16" spans="1:8" x14ac:dyDescent="0.25">
      <c r="A16" s="527"/>
      <c r="B16" s="528"/>
      <c r="C16" s="528"/>
      <c r="D16" s="528"/>
      <c r="E16" s="528"/>
      <c r="F16" s="528"/>
      <c r="G16" s="528"/>
      <c r="H16" s="529"/>
    </row>
    <row r="17" spans="1:8" x14ac:dyDescent="0.25">
      <c r="A17" s="527"/>
      <c r="B17" s="528"/>
      <c r="C17" s="528"/>
      <c r="D17" s="528"/>
      <c r="E17" s="528"/>
      <c r="F17" s="528"/>
      <c r="G17" s="528"/>
      <c r="H17" s="529"/>
    </row>
    <row r="18" spans="1:8" x14ac:dyDescent="0.25">
      <c r="A18" s="527"/>
      <c r="B18" s="528"/>
      <c r="C18" s="528"/>
      <c r="D18" s="528"/>
      <c r="E18" s="528"/>
      <c r="F18" s="528"/>
      <c r="G18" s="528"/>
      <c r="H18" s="529"/>
    </row>
    <row r="19" spans="1:8" x14ac:dyDescent="0.25">
      <c r="A19" s="527"/>
      <c r="B19" s="528"/>
      <c r="C19" s="528"/>
      <c r="D19" s="528"/>
      <c r="E19" s="528"/>
      <c r="F19" s="528"/>
      <c r="G19" s="528"/>
      <c r="H19" s="529"/>
    </row>
    <row r="20" spans="1:8" x14ac:dyDescent="0.25">
      <c r="A20" s="527"/>
      <c r="B20" s="528"/>
      <c r="C20" s="528"/>
      <c r="D20" s="528"/>
      <c r="E20" s="528"/>
      <c r="F20" s="528"/>
      <c r="G20" s="528"/>
      <c r="H20" s="529"/>
    </row>
    <row r="21" spans="1:8" x14ac:dyDescent="0.25">
      <c r="A21" s="527"/>
      <c r="B21" s="528"/>
      <c r="C21" s="528"/>
      <c r="D21" s="528"/>
      <c r="E21" s="528"/>
      <c r="F21" s="528"/>
      <c r="G21" s="528"/>
      <c r="H21" s="529"/>
    </row>
    <row r="22" spans="1:8" ht="15.75" thickBot="1" x14ac:dyDescent="0.3">
      <c r="A22" s="530"/>
      <c r="B22" s="531"/>
      <c r="C22" s="531"/>
      <c r="D22" s="531"/>
      <c r="E22" s="531"/>
      <c r="F22" s="531"/>
      <c r="G22" s="531"/>
      <c r="H22" s="532"/>
    </row>
  </sheetData>
  <mergeCells count="4">
    <mergeCell ref="A1:H1"/>
    <mergeCell ref="A7:G7"/>
    <mergeCell ref="A8:H8"/>
    <mergeCell ref="A9:H22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view="pageBreakPreview" zoomScaleNormal="100" zoomScaleSheetLayoutView="100" workbookViewId="0">
      <selection activeCell="A24" sqref="A24:H24"/>
    </sheetView>
  </sheetViews>
  <sheetFormatPr defaultRowHeight="15" x14ac:dyDescent="0.25"/>
  <cols>
    <col min="1" max="1" width="9.85546875" bestFit="1" customWidth="1"/>
    <col min="2" max="2" width="100.7109375" customWidth="1"/>
    <col min="3" max="8" width="12.7109375" customWidth="1"/>
  </cols>
  <sheetData>
    <row r="1" spans="1:8" ht="15" customHeight="1" thickBot="1" x14ac:dyDescent="0.3">
      <c r="A1" s="551" t="s">
        <v>251</v>
      </c>
      <c r="B1" s="552"/>
      <c r="C1" s="552"/>
      <c r="D1" s="552"/>
      <c r="E1" s="552"/>
      <c r="F1" s="552"/>
      <c r="G1" s="552"/>
      <c r="H1" s="553"/>
    </row>
    <row r="2" spans="1:8" ht="15" customHeight="1" thickBot="1" x14ac:dyDescent="0.3">
      <c r="A2" s="554" t="s">
        <v>252</v>
      </c>
      <c r="B2" s="555"/>
      <c r="C2" s="555"/>
      <c r="D2" s="555"/>
      <c r="E2" s="555"/>
      <c r="F2" s="555"/>
      <c r="G2" s="555"/>
      <c r="H2" s="556"/>
    </row>
    <row r="3" spans="1:8" ht="30" customHeight="1" thickBot="1" x14ac:dyDescent="0.3">
      <c r="A3" s="338" t="s">
        <v>166</v>
      </c>
      <c r="B3" s="339" t="s">
        <v>253</v>
      </c>
      <c r="C3" s="339" t="s">
        <v>167</v>
      </c>
      <c r="D3" s="339" t="s">
        <v>302</v>
      </c>
      <c r="E3" s="339" t="s">
        <v>303</v>
      </c>
      <c r="F3" s="339" t="s">
        <v>169</v>
      </c>
      <c r="G3" s="339" t="s">
        <v>226</v>
      </c>
      <c r="H3" s="340" t="s">
        <v>172</v>
      </c>
    </row>
    <row r="4" spans="1:8" ht="249.95" customHeight="1" thickBot="1" x14ac:dyDescent="0.3">
      <c r="A4" s="567">
        <v>1</v>
      </c>
      <c r="B4" s="568" t="s">
        <v>275</v>
      </c>
      <c r="C4" s="569" t="s">
        <v>167</v>
      </c>
      <c r="D4" s="569">
        <v>1</v>
      </c>
      <c r="E4" s="570">
        <f>D4</f>
        <v>1</v>
      </c>
      <c r="F4" s="571">
        <f>(Equipamentos!F8*1%)</f>
        <v>3600</v>
      </c>
      <c r="G4" s="571">
        <f>F4*E4</f>
        <v>3600</v>
      </c>
      <c r="H4" s="572">
        <f>G4/12</f>
        <v>300</v>
      </c>
    </row>
    <row r="5" spans="1:8" ht="30" customHeight="1" thickBot="1" x14ac:dyDescent="0.3">
      <c r="A5" s="338" t="s">
        <v>166</v>
      </c>
      <c r="B5" s="339" t="s">
        <v>253</v>
      </c>
      <c r="C5" s="339" t="s">
        <v>167</v>
      </c>
      <c r="D5" s="339" t="s">
        <v>302</v>
      </c>
      <c r="E5" s="339" t="s">
        <v>303</v>
      </c>
      <c r="F5" s="339" t="s">
        <v>304</v>
      </c>
      <c r="G5" s="339" t="s">
        <v>226</v>
      </c>
      <c r="H5" s="340" t="s">
        <v>172</v>
      </c>
    </row>
    <row r="6" spans="1:8" ht="30" customHeight="1" x14ac:dyDescent="0.25">
      <c r="A6" s="341">
        <v>2</v>
      </c>
      <c r="B6" s="342" t="s">
        <v>305</v>
      </c>
      <c r="C6" s="343" t="s">
        <v>306</v>
      </c>
      <c r="D6" s="344">
        <v>3.5</v>
      </c>
      <c r="E6" s="344">
        <f>D6*12</f>
        <v>42</v>
      </c>
      <c r="F6" s="345">
        <v>27.66</v>
      </c>
      <c r="G6" s="345">
        <f>F6*E6</f>
        <v>1161.72</v>
      </c>
      <c r="H6" s="346">
        <f>G6/12</f>
        <v>96.81</v>
      </c>
    </row>
    <row r="7" spans="1:8" ht="30" customHeight="1" thickBot="1" x14ac:dyDescent="0.3">
      <c r="A7" s="250">
        <v>3</v>
      </c>
      <c r="B7" s="268" t="s">
        <v>307</v>
      </c>
      <c r="C7" s="190" t="s">
        <v>306</v>
      </c>
      <c r="D7" s="347">
        <v>3.5</v>
      </c>
      <c r="E7" s="347">
        <f>D7*12</f>
        <v>42</v>
      </c>
      <c r="F7" s="191">
        <v>34.79</v>
      </c>
      <c r="G7" s="191">
        <f>F7*E7</f>
        <v>1461.18</v>
      </c>
      <c r="H7" s="246">
        <f>G7/12</f>
        <v>121.77</v>
      </c>
    </row>
    <row r="8" spans="1:8" ht="15" customHeight="1" thickBot="1" x14ac:dyDescent="0.3">
      <c r="A8" s="551"/>
      <c r="B8" s="552"/>
      <c r="C8" s="552"/>
      <c r="D8" s="552"/>
      <c r="E8" s="552"/>
      <c r="F8" s="552"/>
      <c r="G8" s="553"/>
      <c r="H8" s="269">
        <f>SUM(H4:H7)</f>
        <v>518.58000000000004</v>
      </c>
    </row>
    <row r="9" spans="1:8" ht="15" customHeight="1" thickBot="1" x14ac:dyDescent="0.3">
      <c r="A9" s="557"/>
      <c r="B9" s="573"/>
      <c r="C9" s="573"/>
      <c r="D9" s="573"/>
      <c r="E9" s="573"/>
      <c r="F9" s="573"/>
      <c r="G9" s="573"/>
      <c r="H9" s="558"/>
    </row>
    <row r="10" spans="1:8" ht="15" customHeight="1" thickBot="1" x14ac:dyDescent="0.3">
      <c r="A10" s="554" t="s">
        <v>254</v>
      </c>
      <c r="B10" s="555"/>
      <c r="C10" s="555"/>
      <c r="D10" s="555"/>
      <c r="E10" s="555"/>
      <c r="F10" s="555"/>
      <c r="G10" s="555"/>
      <c r="H10" s="556"/>
    </row>
    <row r="11" spans="1:8" ht="30" customHeight="1" thickBot="1" x14ac:dyDescent="0.3">
      <c r="A11" s="329" t="s">
        <v>166</v>
      </c>
      <c r="B11" s="330" t="s">
        <v>253</v>
      </c>
      <c r="C11" s="330" t="s">
        <v>167</v>
      </c>
      <c r="D11" s="330" t="s">
        <v>302</v>
      </c>
      <c r="E11" s="330" t="s">
        <v>303</v>
      </c>
      <c r="F11" s="330" t="s">
        <v>169</v>
      </c>
      <c r="G11" s="330" t="s">
        <v>226</v>
      </c>
      <c r="H11" s="331" t="s">
        <v>172</v>
      </c>
    </row>
    <row r="12" spans="1:8" ht="350.1" customHeight="1" thickBot="1" x14ac:dyDescent="0.3">
      <c r="A12" s="332">
        <v>1</v>
      </c>
      <c r="B12" s="333" t="s">
        <v>276</v>
      </c>
      <c r="C12" s="334" t="s">
        <v>167</v>
      </c>
      <c r="D12" s="334">
        <v>1</v>
      </c>
      <c r="E12" s="335">
        <f>D12</f>
        <v>1</v>
      </c>
      <c r="F12" s="336">
        <f>(Equipamentos!F16*1%)</f>
        <v>3795</v>
      </c>
      <c r="G12" s="336">
        <f>F12*E12</f>
        <v>3795</v>
      </c>
      <c r="H12" s="337">
        <f>G12/12</f>
        <v>316.25</v>
      </c>
    </row>
    <row r="13" spans="1:8" ht="30" customHeight="1" thickBot="1" x14ac:dyDescent="0.3">
      <c r="A13" s="338" t="s">
        <v>166</v>
      </c>
      <c r="B13" s="339" t="s">
        <v>253</v>
      </c>
      <c r="C13" s="339" t="s">
        <v>167</v>
      </c>
      <c r="D13" s="339" t="s">
        <v>302</v>
      </c>
      <c r="E13" s="339" t="s">
        <v>303</v>
      </c>
      <c r="F13" s="339" t="s">
        <v>304</v>
      </c>
      <c r="G13" s="339" t="s">
        <v>226</v>
      </c>
      <c r="H13" s="340" t="s">
        <v>172</v>
      </c>
    </row>
    <row r="14" spans="1:8" ht="30" customHeight="1" x14ac:dyDescent="0.25">
      <c r="A14" s="341">
        <v>2</v>
      </c>
      <c r="B14" s="342" t="s">
        <v>305</v>
      </c>
      <c r="C14" s="343" t="s">
        <v>306</v>
      </c>
      <c r="D14" s="344">
        <v>3.5</v>
      </c>
      <c r="E14" s="344">
        <f>D14*12</f>
        <v>42</v>
      </c>
      <c r="F14" s="345">
        <v>27.66</v>
      </c>
      <c r="G14" s="345">
        <f>F14*E14</f>
        <v>1161.72</v>
      </c>
      <c r="H14" s="346">
        <f>G14/12</f>
        <v>96.81</v>
      </c>
    </row>
    <row r="15" spans="1:8" ht="30" customHeight="1" thickBot="1" x14ac:dyDescent="0.3">
      <c r="A15" s="250">
        <v>3</v>
      </c>
      <c r="B15" s="268" t="s">
        <v>307</v>
      </c>
      <c r="C15" s="190" t="s">
        <v>306</v>
      </c>
      <c r="D15" s="347">
        <v>3.5</v>
      </c>
      <c r="E15" s="347">
        <f>D15*12</f>
        <v>42</v>
      </c>
      <c r="F15" s="191">
        <v>34.79</v>
      </c>
      <c r="G15" s="191">
        <f>F15*E15</f>
        <v>1461.18</v>
      </c>
      <c r="H15" s="192">
        <f>G15/12</f>
        <v>121.77</v>
      </c>
    </row>
    <row r="16" spans="1:8" ht="15" customHeight="1" thickBot="1" x14ac:dyDescent="0.3">
      <c r="A16" s="554"/>
      <c r="B16" s="555"/>
      <c r="C16" s="555"/>
      <c r="D16" s="555"/>
      <c r="E16" s="555"/>
      <c r="F16" s="555"/>
      <c r="G16" s="556"/>
      <c r="H16" s="269">
        <f>SUM(H12:H15)</f>
        <v>534.83000000000004</v>
      </c>
    </row>
    <row r="17" spans="1:8" ht="15.75" thickBot="1" x14ac:dyDescent="0.3">
      <c r="A17" s="548"/>
      <c r="B17" s="549"/>
      <c r="C17" s="549"/>
      <c r="D17" s="549"/>
      <c r="E17" s="549"/>
      <c r="F17" s="549"/>
      <c r="G17" s="549"/>
      <c r="H17" s="550"/>
    </row>
    <row r="18" spans="1:8" ht="15.75" thickBot="1" x14ac:dyDescent="0.3">
      <c r="A18" s="542" t="s">
        <v>241</v>
      </c>
      <c r="B18" s="543"/>
      <c r="C18" s="543"/>
      <c r="D18" s="543"/>
      <c r="E18" s="543"/>
      <c r="F18" s="543"/>
      <c r="G18" s="544"/>
      <c r="H18" s="120">
        <f>H8/8</f>
        <v>64.819999999999993</v>
      </c>
    </row>
    <row r="19" spans="1:8" ht="15.75" thickBot="1" x14ac:dyDescent="0.3">
      <c r="A19" s="542" t="s">
        <v>268</v>
      </c>
      <c r="B19" s="543"/>
      <c r="C19" s="543"/>
      <c r="D19" s="543"/>
      <c r="E19" s="543"/>
      <c r="F19" s="543"/>
      <c r="G19" s="544"/>
      <c r="H19" s="120">
        <f>H8/8</f>
        <v>64.819999999999993</v>
      </c>
    </row>
    <row r="20" spans="1:8" ht="15.75" thickBot="1" x14ac:dyDescent="0.3">
      <c r="A20" s="542" t="s">
        <v>242</v>
      </c>
      <c r="B20" s="543"/>
      <c r="C20" s="543"/>
      <c r="D20" s="543"/>
      <c r="E20" s="543"/>
      <c r="F20" s="543"/>
      <c r="G20" s="544"/>
      <c r="H20" s="120">
        <f>H16/12</f>
        <v>44.57</v>
      </c>
    </row>
    <row r="21" spans="1:8" ht="15.75" thickBot="1" x14ac:dyDescent="0.3">
      <c r="A21" s="542" t="s">
        <v>267</v>
      </c>
      <c r="B21" s="543"/>
      <c r="C21" s="543"/>
      <c r="D21" s="543"/>
      <c r="E21" s="543"/>
      <c r="F21" s="543"/>
      <c r="G21" s="544"/>
      <c r="H21" s="120">
        <f>H16/12</f>
        <v>44.57</v>
      </c>
    </row>
    <row r="22" spans="1:8" ht="15" customHeight="1" thickBot="1" x14ac:dyDescent="0.3">
      <c r="A22" s="545" t="s">
        <v>250</v>
      </c>
      <c r="B22" s="546"/>
      <c r="C22" s="546"/>
      <c r="D22" s="546"/>
      <c r="E22" s="546"/>
      <c r="F22" s="546"/>
      <c r="G22" s="546"/>
      <c r="H22" s="547"/>
    </row>
    <row r="23" spans="1:8" x14ac:dyDescent="0.25">
      <c r="A23" s="533" t="s">
        <v>293</v>
      </c>
      <c r="B23" s="534"/>
      <c r="C23" s="534"/>
      <c r="D23" s="534"/>
      <c r="E23" s="534"/>
      <c r="F23" s="534"/>
      <c r="G23" s="534"/>
      <c r="H23" s="535"/>
    </row>
    <row r="24" spans="1:8" x14ac:dyDescent="0.25">
      <c r="A24" s="536"/>
      <c r="B24" s="537"/>
      <c r="C24" s="537"/>
      <c r="D24" s="537"/>
      <c r="E24" s="537"/>
      <c r="F24" s="537"/>
      <c r="G24" s="537"/>
      <c r="H24" s="538"/>
    </row>
    <row r="25" spans="1:8" x14ac:dyDescent="0.25">
      <c r="A25" s="536"/>
      <c r="B25" s="537"/>
      <c r="C25" s="537"/>
      <c r="D25" s="537"/>
      <c r="E25" s="537"/>
      <c r="F25" s="537"/>
      <c r="G25" s="537"/>
      <c r="H25" s="538"/>
    </row>
    <row r="26" spans="1:8" x14ac:dyDescent="0.25">
      <c r="A26" s="536"/>
      <c r="B26" s="537"/>
      <c r="C26" s="537"/>
      <c r="D26" s="537"/>
      <c r="E26" s="537"/>
      <c r="F26" s="537"/>
      <c r="G26" s="537"/>
      <c r="H26" s="538"/>
    </row>
    <row r="27" spans="1:8" ht="15.75" thickBot="1" x14ac:dyDescent="0.3">
      <c r="A27" s="539"/>
      <c r="B27" s="540"/>
      <c r="C27" s="540"/>
      <c r="D27" s="540"/>
      <c r="E27" s="540"/>
      <c r="F27" s="540"/>
      <c r="G27" s="540"/>
      <c r="H27" s="541"/>
    </row>
    <row r="28" spans="1:8" x14ac:dyDescent="0.25">
      <c r="A28" s="251"/>
      <c r="B28" s="251"/>
      <c r="C28" s="251"/>
      <c r="D28" s="251"/>
      <c r="E28" s="251"/>
      <c r="F28" s="251"/>
      <c r="G28" s="251"/>
      <c r="H28" s="251"/>
    </row>
    <row r="29" spans="1:8" x14ac:dyDescent="0.25">
      <c r="A29" s="251"/>
      <c r="B29" s="251"/>
      <c r="C29" s="251"/>
      <c r="D29" s="251"/>
      <c r="E29" s="251"/>
      <c r="F29" s="251"/>
      <c r="G29" s="251"/>
      <c r="H29" s="251"/>
    </row>
    <row r="30" spans="1:8" x14ac:dyDescent="0.25">
      <c r="A30" s="251"/>
      <c r="B30" s="251"/>
      <c r="C30" s="251"/>
      <c r="D30" s="251"/>
      <c r="E30" s="251"/>
      <c r="F30" s="251"/>
      <c r="G30" s="251"/>
      <c r="H30" s="251"/>
    </row>
  </sheetData>
  <mergeCells count="13">
    <mergeCell ref="A17:H17"/>
    <mergeCell ref="A1:H1"/>
    <mergeCell ref="A2:H2"/>
    <mergeCell ref="A8:G8"/>
    <mergeCell ref="A9:H9"/>
    <mergeCell ref="A10:H10"/>
    <mergeCell ref="A16:G16"/>
    <mergeCell ref="A23:H27"/>
    <mergeCell ref="A18:G18"/>
    <mergeCell ref="A20:G20"/>
    <mergeCell ref="A21:G21"/>
    <mergeCell ref="A19:G19"/>
    <mergeCell ref="A22:H22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view="pageBreakPreview" topLeftCell="A14" zoomScaleNormal="100" zoomScaleSheetLayoutView="100" workbookViewId="0">
      <selection activeCell="A24" sqref="A24:H24"/>
    </sheetView>
  </sheetViews>
  <sheetFormatPr defaultRowHeight="15" x14ac:dyDescent="0.25"/>
  <cols>
    <col min="1" max="1" width="9.85546875" bestFit="1" customWidth="1"/>
    <col min="2" max="2" width="60.7109375" customWidth="1"/>
    <col min="3" max="3" width="11.5703125" bestFit="1" customWidth="1"/>
    <col min="4" max="5" width="15.7109375" customWidth="1"/>
    <col min="6" max="8" width="20.7109375" customWidth="1"/>
  </cols>
  <sheetData>
    <row r="1" spans="1:8" ht="15" customHeight="1" thickBot="1" x14ac:dyDescent="0.3">
      <c r="A1" s="551" t="s">
        <v>170</v>
      </c>
      <c r="B1" s="552"/>
      <c r="C1" s="552"/>
      <c r="D1" s="552"/>
      <c r="E1" s="552"/>
      <c r="F1" s="552"/>
      <c r="G1" s="552"/>
      <c r="H1" s="553"/>
    </row>
    <row r="2" spans="1:8" ht="15" customHeight="1" thickBot="1" x14ac:dyDescent="0.3">
      <c r="A2" s="561" t="s">
        <v>249</v>
      </c>
      <c r="B2" s="562"/>
      <c r="C2" s="562"/>
      <c r="D2" s="562"/>
      <c r="E2" s="562"/>
      <c r="F2" s="562"/>
      <c r="G2" s="562"/>
      <c r="H2" s="563"/>
    </row>
    <row r="3" spans="1:8" ht="15" customHeight="1" x14ac:dyDescent="0.25">
      <c r="A3" s="234" t="s">
        <v>166</v>
      </c>
      <c r="B3" s="235" t="s">
        <v>244</v>
      </c>
      <c r="C3" s="235" t="s">
        <v>167</v>
      </c>
      <c r="D3" s="235" t="s">
        <v>168</v>
      </c>
      <c r="E3" s="235" t="s">
        <v>171</v>
      </c>
      <c r="F3" s="235" t="s">
        <v>169</v>
      </c>
      <c r="G3" s="235" t="s">
        <v>226</v>
      </c>
      <c r="H3" s="236" t="s">
        <v>172</v>
      </c>
    </row>
    <row r="4" spans="1:8" ht="45" customHeight="1" x14ac:dyDescent="0.25">
      <c r="A4" s="127">
        <v>1</v>
      </c>
      <c r="B4" s="128" t="s">
        <v>245</v>
      </c>
      <c r="C4" s="103">
        <v>1</v>
      </c>
      <c r="D4" s="121">
        <v>12</v>
      </c>
      <c r="E4" s="103">
        <v>12</v>
      </c>
      <c r="F4" s="125">
        <f>F8*5%</f>
        <v>18000</v>
      </c>
      <c r="G4" s="125">
        <f>F4*C4</f>
        <v>18000</v>
      </c>
      <c r="H4" s="126">
        <f>G4/12</f>
        <v>1500</v>
      </c>
    </row>
    <row r="5" spans="1:8" ht="15" customHeight="1" x14ac:dyDescent="0.25">
      <c r="A5" s="124"/>
      <c r="B5" s="122" t="s">
        <v>246</v>
      </c>
      <c r="C5" s="122"/>
      <c r="D5" s="122"/>
      <c r="E5" s="122"/>
      <c r="F5" s="237"/>
      <c r="G5" s="237"/>
      <c r="H5" s="238"/>
    </row>
    <row r="6" spans="1:8" ht="140.1" customHeight="1" x14ac:dyDescent="0.25">
      <c r="A6" s="127">
        <v>1</v>
      </c>
      <c r="B6" s="239" t="s">
        <v>247</v>
      </c>
      <c r="C6" s="103">
        <v>1</v>
      </c>
      <c r="D6" s="121">
        <v>12</v>
      </c>
      <c r="E6" s="103">
        <v>12</v>
      </c>
      <c r="F6" s="125">
        <f>F8*10%</f>
        <v>36000</v>
      </c>
      <c r="G6" s="125">
        <f>F6*C6</f>
        <v>36000</v>
      </c>
      <c r="H6" s="126">
        <f>G6/12</f>
        <v>3000</v>
      </c>
    </row>
    <row r="7" spans="1:8" ht="15" customHeight="1" x14ac:dyDescent="0.25">
      <c r="A7" s="124" t="s">
        <v>166</v>
      </c>
      <c r="B7" s="123" t="s">
        <v>187</v>
      </c>
      <c r="C7" s="122" t="s">
        <v>167</v>
      </c>
      <c r="D7" s="122" t="s">
        <v>168</v>
      </c>
      <c r="E7" s="122" t="s">
        <v>171</v>
      </c>
      <c r="F7" s="237" t="s">
        <v>169</v>
      </c>
      <c r="G7" s="237" t="s">
        <v>226</v>
      </c>
      <c r="H7" s="238" t="s">
        <v>172</v>
      </c>
    </row>
    <row r="8" spans="1:8" ht="15" customHeight="1" thickBot="1" x14ac:dyDescent="0.3">
      <c r="A8" s="240">
        <v>1</v>
      </c>
      <c r="B8" s="241" t="s">
        <v>188</v>
      </c>
      <c r="C8" s="242" t="s">
        <v>167</v>
      </c>
      <c r="D8" s="243">
        <v>1</v>
      </c>
      <c r="E8" s="242">
        <v>60</v>
      </c>
      <c r="F8" s="244">
        <v>360000</v>
      </c>
      <c r="G8" s="245">
        <f>F8*D8</f>
        <v>360000</v>
      </c>
      <c r="H8" s="246">
        <f>(G8/E8)</f>
        <v>6000</v>
      </c>
    </row>
    <row r="9" spans="1:8" ht="15" customHeight="1" thickBot="1" x14ac:dyDescent="0.3">
      <c r="A9" s="247"/>
      <c r="B9" s="248"/>
      <c r="C9" s="248"/>
      <c r="D9" s="248"/>
      <c r="E9" s="248"/>
      <c r="F9" s="248"/>
      <c r="G9" s="248"/>
      <c r="H9" s="249"/>
    </row>
    <row r="10" spans="1:8" ht="15" customHeight="1" thickBot="1" x14ac:dyDescent="0.3">
      <c r="A10" s="564" t="s">
        <v>248</v>
      </c>
      <c r="B10" s="565"/>
      <c r="C10" s="565"/>
      <c r="D10" s="565"/>
      <c r="E10" s="565"/>
      <c r="F10" s="565"/>
      <c r="G10" s="565"/>
      <c r="H10" s="566"/>
    </row>
    <row r="11" spans="1:8" ht="15" customHeight="1" x14ac:dyDescent="0.25">
      <c r="A11" s="234" t="s">
        <v>166</v>
      </c>
      <c r="B11" s="235" t="s">
        <v>244</v>
      </c>
      <c r="C11" s="235" t="s">
        <v>167</v>
      </c>
      <c r="D11" s="235" t="s">
        <v>168</v>
      </c>
      <c r="E11" s="235" t="s">
        <v>171</v>
      </c>
      <c r="F11" s="235" t="s">
        <v>169</v>
      </c>
      <c r="G11" s="235" t="s">
        <v>226</v>
      </c>
      <c r="H11" s="236" t="s">
        <v>172</v>
      </c>
    </row>
    <row r="12" spans="1:8" ht="45" customHeight="1" x14ac:dyDescent="0.25">
      <c r="A12" s="127">
        <v>1</v>
      </c>
      <c r="B12" s="128" t="s">
        <v>245</v>
      </c>
      <c r="C12" s="103">
        <v>1</v>
      </c>
      <c r="D12" s="121">
        <v>12</v>
      </c>
      <c r="E12" s="103">
        <v>12</v>
      </c>
      <c r="F12" s="125">
        <f>F16*5%</f>
        <v>18975</v>
      </c>
      <c r="G12" s="125">
        <f>F12*C12</f>
        <v>18975</v>
      </c>
      <c r="H12" s="126">
        <f>G12/12</f>
        <v>1581.25</v>
      </c>
    </row>
    <row r="13" spans="1:8" ht="15" customHeight="1" x14ac:dyDescent="0.25">
      <c r="A13" s="124"/>
      <c r="B13" s="122" t="s">
        <v>246</v>
      </c>
      <c r="C13" s="122"/>
      <c r="D13" s="122"/>
      <c r="E13" s="122"/>
      <c r="F13" s="237"/>
      <c r="G13" s="237"/>
      <c r="H13" s="238"/>
    </row>
    <row r="14" spans="1:8" ht="140.1" customHeight="1" x14ac:dyDescent="0.25">
      <c r="A14" s="127">
        <v>1</v>
      </c>
      <c r="B14" s="239" t="s">
        <v>247</v>
      </c>
      <c r="C14" s="103">
        <v>1</v>
      </c>
      <c r="D14" s="121">
        <v>12</v>
      </c>
      <c r="E14" s="103">
        <v>12</v>
      </c>
      <c r="F14" s="125">
        <f>F16*10%</f>
        <v>37950</v>
      </c>
      <c r="G14" s="125">
        <f>F14*C14</f>
        <v>37950</v>
      </c>
      <c r="H14" s="126">
        <f>G14/12</f>
        <v>3162.5</v>
      </c>
    </row>
    <row r="15" spans="1:8" ht="15" customHeight="1" x14ac:dyDescent="0.25">
      <c r="A15" s="124" t="s">
        <v>166</v>
      </c>
      <c r="B15" s="123" t="s">
        <v>187</v>
      </c>
      <c r="C15" s="122" t="s">
        <v>167</v>
      </c>
      <c r="D15" s="122" t="s">
        <v>168</v>
      </c>
      <c r="E15" s="122" t="s">
        <v>171</v>
      </c>
      <c r="F15" s="237" t="s">
        <v>169</v>
      </c>
      <c r="G15" s="237" t="s">
        <v>226</v>
      </c>
      <c r="H15" s="238" t="s">
        <v>172</v>
      </c>
    </row>
    <row r="16" spans="1:8" ht="15" customHeight="1" thickBot="1" x14ac:dyDescent="0.3">
      <c r="A16" s="240">
        <v>1</v>
      </c>
      <c r="B16" s="241" t="s">
        <v>240</v>
      </c>
      <c r="C16" s="242" t="s">
        <v>167</v>
      </c>
      <c r="D16" s="243">
        <v>1</v>
      </c>
      <c r="E16" s="242">
        <v>60</v>
      </c>
      <c r="F16" s="244">
        <v>379500</v>
      </c>
      <c r="G16" s="245">
        <f>F16*D16</f>
        <v>379500</v>
      </c>
      <c r="H16" s="246">
        <f>(G16/E16)</f>
        <v>6325</v>
      </c>
    </row>
    <row r="17" spans="1:8" ht="15" customHeight="1" thickBot="1" x14ac:dyDescent="0.3">
      <c r="A17" s="548"/>
      <c r="B17" s="549"/>
      <c r="C17" s="549"/>
      <c r="D17" s="549"/>
      <c r="E17" s="549"/>
      <c r="F17" s="549"/>
      <c r="G17" s="549"/>
      <c r="H17" s="550"/>
    </row>
    <row r="18" spans="1:8" ht="15" customHeight="1" thickBot="1" x14ac:dyDescent="0.3">
      <c r="A18" s="542" t="s">
        <v>241</v>
      </c>
      <c r="B18" s="543"/>
      <c r="C18" s="543"/>
      <c r="D18" s="543"/>
      <c r="E18" s="543"/>
      <c r="F18" s="543"/>
      <c r="G18" s="544"/>
      <c r="H18" s="120">
        <f>SUM(H3:H8)/8</f>
        <v>1312.5</v>
      </c>
    </row>
    <row r="19" spans="1:8" ht="15" customHeight="1" thickBot="1" x14ac:dyDescent="0.3">
      <c r="A19" s="542" t="s">
        <v>268</v>
      </c>
      <c r="B19" s="543"/>
      <c r="C19" s="543"/>
      <c r="D19" s="543"/>
      <c r="E19" s="543"/>
      <c r="F19" s="543"/>
      <c r="G19" s="544"/>
      <c r="H19" s="120">
        <f>SUM(H3:H8)/8</f>
        <v>1312.5</v>
      </c>
    </row>
    <row r="20" spans="1:8" ht="15" customHeight="1" thickBot="1" x14ac:dyDescent="0.3">
      <c r="A20" s="542" t="s">
        <v>242</v>
      </c>
      <c r="B20" s="543"/>
      <c r="C20" s="543"/>
      <c r="D20" s="543"/>
      <c r="E20" s="543"/>
      <c r="F20" s="543"/>
      <c r="G20" s="544"/>
      <c r="H20" s="120">
        <f>SUM(H12:H16)/12</f>
        <v>922.4</v>
      </c>
    </row>
    <row r="21" spans="1:8" ht="15" customHeight="1" thickBot="1" x14ac:dyDescent="0.3">
      <c r="A21" s="542" t="s">
        <v>267</v>
      </c>
      <c r="B21" s="543"/>
      <c r="C21" s="543"/>
      <c r="D21" s="543"/>
      <c r="E21" s="543"/>
      <c r="F21" s="543"/>
      <c r="G21" s="544"/>
      <c r="H21" s="120">
        <f>SUM(H12:H16)/12</f>
        <v>922.4</v>
      </c>
    </row>
    <row r="22" spans="1:8" ht="15.75" thickBot="1" x14ac:dyDescent="0.3">
      <c r="A22" s="545" t="s">
        <v>250</v>
      </c>
      <c r="B22" s="559"/>
      <c r="C22" s="559"/>
      <c r="D22" s="559"/>
      <c r="E22" s="559"/>
      <c r="F22" s="559"/>
      <c r="G22" s="559"/>
      <c r="H22" s="560"/>
    </row>
    <row r="23" spans="1:8" x14ac:dyDescent="0.25">
      <c r="A23" s="524" t="s">
        <v>294</v>
      </c>
      <c r="B23" s="525"/>
      <c r="C23" s="525"/>
      <c r="D23" s="525"/>
      <c r="E23" s="525"/>
      <c r="F23" s="525"/>
      <c r="G23" s="525"/>
      <c r="H23" s="526"/>
    </row>
    <row r="24" spans="1:8" x14ac:dyDescent="0.25">
      <c r="A24" s="527"/>
      <c r="B24" s="528"/>
      <c r="C24" s="528"/>
      <c r="D24" s="528"/>
      <c r="E24" s="528"/>
      <c r="F24" s="528"/>
      <c r="G24" s="528"/>
      <c r="H24" s="529"/>
    </row>
    <row r="25" spans="1:8" x14ac:dyDescent="0.25">
      <c r="A25" s="527"/>
      <c r="B25" s="528"/>
      <c r="C25" s="528"/>
      <c r="D25" s="528"/>
      <c r="E25" s="528"/>
      <c r="F25" s="528"/>
      <c r="G25" s="528"/>
      <c r="H25" s="529"/>
    </row>
    <row r="26" spans="1:8" x14ac:dyDescent="0.25">
      <c r="A26" s="527"/>
      <c r="B26" s="528"/>
      <c r="C26" s="528"/>
      <c r="D26" s="528"/>
      <c r="E26" s="528"/>
      <c r="F26" s="528"/>
      <c r="G26" s="528"/>
      <c r="H26" s="529"/>
    </row>
    <row r="27" spans="1:8" x14ac:dyDescent="0.25">
      <c r="A27" s="527"/>
      <c r="B27" s="528"/>
      <c r="C27" s="528"/>
      <c r="D27" s="528"/>
      <c r="E27" s="528"/>
      <c r="F27" s="528"/>
      <c r="G27" s="528"/>
      <c r="H27" s="529"/>
    </row>
    <row r="28" spans="1:8" x14ac:dyDescent="0.25">
      <c r="A28" s="527"/>
      <c r="B28" s="528"/>
      <c r="C28" s="528"/>
      <c r="D28" s="528"/>
      <c r="E28" s="528"/>
      <c r="F28" s="528"/>
      <c r="G28" s="528"/>
      <c r="H28" s="529"/>
    </row>
    <row r="29" spans="1:8" x14ac:dyDescent="0.25">
      <c r="A29" s="527"/>
      <c r="B29" s="528"/>
      <c r="C29" s="528"/>
      <c r="D29" s="528"/>
      <c r="E29" s="528"/>
      <c r="F29" s="528"/>
      <c r="G29" s="528"/>
      <c r="H29" s="529"/>
    </row>
    <row r="30" spans="1:8" x14ac:dyDescent="0.25">
      <c r="A30" s="527"/>
      <c r="B30" s="528"/>
      <c r="C30" s="528"/>
      <c r="D30" s="528"/>
      <c r="E30" s="528"/>
      <c r="F30" s="528"/>
      <c r="G30" s="528"/>
      <c r="H30" s="529"/>
    </row>
    <row r="31" spans="1:8" x14ac:dyDescent="0.25">
      <c r="A31" s="527"/>
      <c r="B31" s="528"/>
      <c r="C31" s="528"/>
      <c r="D31" s="528"/>
      <c r="E31" s="528"/>
      <c r="F31" s="528"/>
      <c r="G31" s="528"/>
      <c r="H31" s="529"/>
    </row>
    <row r="32" spans="1:8" x14ac:dyDescent="0.25">
      <c r="A32" s="527"/>
      <c r="B32" s="528"/>
      <c r="C32" s="528"/>
      <c r="D32" s="528"/>
      <c r="E32" s="528"/>
      <c r="F32" s="528"/>
      <c r="G32" s="528"/>
      <c r="H32" s="529"/>
    </row>
    <row r="33" spans="1:8" x14ac:dyDescent="0.25">
      <c r="A33" s="527"/>
      <c r="B33" s="528"/>
      <c r="C33" s="528"/>
      <c r="D33" s="528"/>
      <c r="E33" s="528"/>
      <c r="F33" s="528"/>
      <c r="G33" s="528"/>
      <c r="H33" s="529"/>
    </row>
    <row r="34" spans="1:8" x14ac:dyDescent="0.25">
      <c r="A34" s="527"/>
      <c r="B34" s="528"/>
      <c r="C34" s="528"/>
      <c r="D34" s="528"/>
      <c r="E34" s="528"/>
      <c r="F34" s="528"/>
      <c r="G34" s="528"/>
      <c r="H34" s="529"/>
    </row>
    <row r="35" spans="1:8" ht="15.75" thickBot="1" x14ac:dyDescent="0.3">
      <c r="A35" s="530"/>
      <c r="B35" s="531"/>
      <c r="C35" s="531"/>
      <c r="D35" s="531"/>
      <c r="E35" s="531"/>
      <c r="F35" s="531"/>
      <c r="G35" s="531"/>
      <c r="H35" s="532"/>
    </row>
  </sheetData>
  <mergeCells count="10">
    <mergeCell ref="A23:H35"/>
    <mergeCell ref="A22:H22"/>
    <mergeCell ref="A1:H1"/>
    <mergeCell ref="A2:H2"/>
    <mergeCell ref="A19:G19"/>
    <mergeCell ref="A18:G18"/>
    <mergeCell ref="A21:G21"/>
    <mergeCell ref="A20:G20"/>
    <mergeCell ref="A10:H10"/>
    <mergeCell ref="A17:H17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356" t="s">
        <v>95</v>
      </c>
      <c r="B1" s="356"/>
    </row>
    <row r="2" spans="1:2" ht="19.5" thickBot="1" x14ac:dyDescent="0.35">
      <c r="A2" s="21" t="s">
        <v>96</v>
      </c>
      <c r="B2" s="21" t="s">
        <v>97</v>
      </c>
    </row>
    <row r="3" spans="1:2" ht="19.5" thickBot="1" x14ac:dyDescent="0.35">
      <c r="A3" s="22" t="s">
        <v>98</v>
      </c>
      <c r="B3" s="23" t="s">
        <v>99</v>
      </c>
    </row>
    <row r="4" spans="1:2" ht="57" thickBot="1" x14ac:dyDescent="0.35">
      <c r="A4" s="24" t="s">
        <v>100</v>
      </c>
      <c r="B4" s="25" t="s">
        <v>101</v>
      </c>
    </row>
    <row r="5" spans="1:2" ht="19.5" thickBot="1" x14ac:dyDescent="0.35">
      <c r="A5" s="24" t="s">
        <v>102</v>
      </c>
      <c r="B5" s="25" t="s">
        <v>103</v>
      </c>
    </row>
    <row r="6" spans="1:2" ht="94.5" thickBot="1" x14ac:dyDescent="0.35">
      <c r="A6" s="24" t="s">
        <v>104</v>
      </c>
      <c r="B6" s="25" t="s">
        <v>105</v>
      </c>
    </row>
    <row r="7" spans="1:2" ht="38.25" thickBot="1" x14ac:dyDescent="0.35">
      <c r="A7" s="24" t="s">
        <v>106</v>
      </c>
      <c r="B7" s="25" t="s">
        <v>107</v>
      </c>
    </row>
    <row r="8" spans="1:2" ht="19.5" thickBot="1" x14ac:dyDescent="0.35">
      <c r="A8" s="24" t="s">
        <v>108</v>
      </c>
      <c r="B8" s="25" t="s">
        <v>109</v>
      </c>
    </row>
    <row r="9" spans="1:2" ht="38.25" thickBot="1" x14ac:dyDescent="0.35">
      <c r="A9" s="24" t="s">
        <v>110</v>
      </c>
      <c r="B9" s="25" t="s">
        <v>111</v>
      </c>
    </row>
    <row r="10" spans="1:2" ht="57" thickBot="1" x14ac:dyDescent="0.35">
      <c r="A10" s="24" t="s">
        <v>112</v>
      </c>
      <c r="B10" s="25" t="s">
        <v>113</v>
      </c>
    </row>
    <row r="11" spans="1:2" ht="75.75" thickBot="1" x14ac:dyDescent="0.35">
      <c r="A11" s="24" t="s">
        <v>114</v>
      </c>
      <c r="B11" s="25" t="s">
        <v>115</v>
      </c>
    </row>
    <row r="12" spans="1:2" ht="57" thickBot="1" x14ac:dyDescent="0.35">
      <c r="A12" s="24" t="s">
        <v>112</v>
      </c>
      <c r="B12" s="25" t="s">
        <v>116</v>
      </c>
    </row>
    <row r="13" spans="1:2" ht="38.25" thickBot="1" x14ac:dyDescent="0.35">
      <c r="A13" s="24" t="s">
        <v>112</v>
      </c>
      <c r="B13" s="25" t="s">
        <v>117</v>
      </c>
    </row>
    <row r="14" spans="1:2" ht="57" thickBot="1" x14ac:dyDescent="0.35">
      <c r="A14" s="24" t="s">
        <v>112</v>
      </c>
      <c r="B14" s="25" t="s">
        <v>118</v>
      </c>
    </row>
    <row r="15" spans="1:2" ht="19.5" thickBot="1" x14ac:dyDescent="0.35">
      <c r="A15" s="24" t="s">
        <v>112</v>
      </c>
      <c r="B15" s="25" t="s">
        <v>119</v>
      </c>
    </row>
    <row r="16" spans="1:2" ht="38.25" thickBot="1" x14ac:dyDescent="0.35">
      <c r="A16" s="24" t="s">
        <v>120</v>
      </c>
      <c r="B16" s="25" t="s">
        <v>121</v>
      </c>
    </row>
    <row r="17" spans="1:2" ht="38.25" thickBot="1" x14ac:dyDescent="0.35">
      <c r="A17" s="24" t="s">
        <v>122</v>
      </c>
      <c r="B17" s="25" t="s">
        <v>123</v>
      </c>
    </row>
    <row r="18" spans="1:2" ht="38.25" thickBot="1" x14ac:dyDescent="0.35">
      <c r="A18" s="24" t="s">
        <v>112</v>
      </c>
      <c r="B18" s="25" t="s">
        <v>124</v>
      </c>
    </row>
    <row r="19" spans="1:2" ht="57" thickBot="1" x14ac:dyDescent="0.35">
      <c r="A19" s="24" t="s">
        <v>112</v>
      </c>
      <c r="B19" s="25" t="s">
        <v>125</v>
      </c>
    </row>
    <row r="20" spans="1:2" ht="38.25" thickBot="1" x14ac:dyDescent="0.35">
      <c r="A20" s="24" t="s">
        <v>112</v>
      </c>
      <c r="B20" s="25" t="s">
        <v>126</v>
      </c>
    </row>
    <row r="21" spans="1:2" ht="57" thickBot="1" x14ac:dyDescent="0.35">
      <c r="A21" s="24" t="s">
        <v>112</v>
      </c>
      <c r="B21" s="25" t="s">
        <v>127</v>
      </c>
    </row>
    <row r="22" spans="1:2" x14ac:dyDescent="0.3">
      <c r="A22" s="26" t="s">
        <v>112</v>
      </c>
      <c r="B22" s="27" t="s">
        <v>128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view="pageBreakPreview" topLeftCell="A4" zoomScale="80" zoomScaleNormal="80" zoomScaleSheetLayoutView="80" workbookViewId="0">
      <selection activeCell="A24" sqref="A24:H24"/>
    </sheetView>
  </sheetViews>
  <sheetFormatPr defaultRowHeight="12.75" x14ac:dyDescent="0.25"/>
  <cols>
    <col min="1" max="1" width="10.7109375" style="183" customWidth="1"/>
    <col min="2" max="2" width="60.7109375" style="183" customWidth="1"/>
    <col min="3" max="8" width="20.7109375" style="183" customWidth="1"/>
    <col min="9" max="16384" width="9.140625" style="183"/>
  </cols>
  <sheetData>
    <row r="1" spans="1:8" ht="15.75" customHeight="1" x14ac:dyDescent="0.25">
      <c r="A1" s="360" t="s">
        <v>257</v>
      </c>
      <c r="B1" s="361"/>
      <c r="C1" s="361"/>
      <c r="D1" s="361"/>
      <c r="E1" s="361"/>
      <c r="F1" s="361"/>
      <c r="G1" s="361"/>
      <c r="H1" s="362"/>
    </row>
    <row r="2" spans="1:8" ht="45" customHeight="1" x14ac:dyDescent="0.25">
      <c r="A2" s="270" t="s">
        <v>279</v>
      </c>
      <c r="B2" s="118" t="s">
        <v>280</v>
      </c>
      <c r="C2" s="271" t="s">
        <v>281</v>
      </c>
      <c r="D2" s="272" t="s">
        <v>282</v>
      </c>
      <c r="E2" s="272" t="s">
        <v>283</v>
      </c>
      <c r="F2" s="118" t="s">
        <v>284</v>
      </c>
      <c r="G2" s="118" t="s">
        <v>285</v>
      </c>
      <c r="H2" s="119" t="s">
        <v>286</v>
      </c>
    </row>
    <row r="3" spans="1:8" ht="174.95" customHeight="1" x14ac:dyDescent="0.25">
      <c r="A3" s="195">
        <v>1</v>
      </c>
      <c r="B3" s="273" t="s">
        <v>290</v>
      </c>
      <c r="C3" s="194" t="s">
        <v>287</v>
      </c>
      <c r="D3" s="194" t="s">
        <v>288</v>
      </c>
      <c r="E3" s="193">
        <v>2</v>
      </c>
      <c r="F3" s="196">
        <f>('Motorista - Diurno'!D112+'Motorista - Noturno'!D113+'Técnico de Enfermagem - Diurno'!D113+'Técnico de Enfermagem - Noturno'!D113)*2</f>
        <v>91553.9</v>
      </c>
      <c r="G3" s="196">
        <f>F3*E3</f>
        <v>183107.8</v>
      </c>
      <c r="H3" s="197">
        <f>G3*12</f>
        <v>2197293.6</v>
      </c>
    </row>
    <row r="4" spans="1:8" ht="174.95" customHeight="1" x14ac:dyDescent="0.25">
      <c r="A4" s="195">
        <v>2</v>
      </c>
      <c r="B4" s="322" t="s">
        <v>292</v>
      </c>
      <c r="C4" s="194" t="s">
        <v>287</v>
      </c>
      <c r="D4" s="194" t="s">
        <v>288</v>
      </c>
      <c r="E4" s="193">
        <v>1</v>
      </c>
      <c r="F4" s="196">
        <f>('Motorista - Diurno'!F112+'Motorista - Noturno'!F113+'Enfermeiro - Diurno'!D112+'Enfermeiro - Noturno'!D113+'Médico - Diurno '!D112+'Médico - Noturno'!D112)*2</f>
        <v>280941.94</v>
      </c>
      <c r="G4" s="196">
        <f>F4*E4</f>
        <v>280941.94</v>
      </c>
      <c r="H4" s="197">
        <f>G4*12</f>
        <v>3371303.28</v>
      </c>
    </row>
    <row r="5" spans="1:8" ht="159.94999999999999" customHeight="1" x14ac:dyDescent="0.25">
      <c r="A5" s="195">
        <v>3</v>
      </c>
      <c r="B5" s="274" t="s">
        <v>291</v>
      </c>
      <c r="C5" s="194" t="s">
        <v>287</v>
      </c>
      <c r="D5" s="194" t="s">
        <v>288</v>
      </c>
      <c r="E5" s="193">
        <v>1</v>
      </c>
      <c r="F5" s="196">
        <f>('Motorista - Diurno'!G112+'Motorista - Noturno'!G113+'Enfermeiro - Diurno'!E112+'Enfermeiro - Noturno'!E113+'Médico - Diurno '!E112+'Médico - Noturno'!E112)*2</f>
        <v>280941.94</v>
      </c>
      <c r="G5" s="196">
        <f>F5*E5</f>
        <v>280941.94</v>
      </c>
      <c r="H5" s="197">
        <f>G5*12</f>
        <v>3371303.28</v>
      </c>
    </row>
    <row r="6" spans="1:8" ht="159.94999999999999" customHeight="1" thickBot="1" x14ac:dyDescent="0.3">
      <c r="A6" s="323">
        <v>4</v>
      </c>
      <c r="B6" s="324" t="s">
        <v>289</v>
      </c>
      <c r="C6" s="325" t="s">
        <v>287</v>
      </c>
      <c r="D6" s="325" t="s">
        <v>288</v>
      </c>
      <c r="E6" s="326">
        <v>2</v>
      </c>
      <c r="F6" s="327">
        <f>('Motorista - Diurno'!E112+'Motorista - Noturno'!E113+'Técnico de Enfermagem - Diurno'!E113+'Técnico de Enfermagem - Noturno'!E113)*2</f>
        <v>91553.9</v>
      </c>
      <c r="G6" s="327">
        <f>F6*E6</f>
        <v>183107.8</v>
      </c>
      <c r="H6" s="328">
        <f>G6*12</f>
        <v>2197293.6</v>
      </c>
    </row>
    <row r="7" spans="1:8" ht="15" customHeight="1" thickBot="1" x14ac:dyDescent="0.3">
      <c r="A7" s="363" t="s">
        <v>256</v>
      </c>
      <c r="B7" s="364"/>
      <c r="C7" s="364"/>
      <c r="D7" s="364"/>
      <c r="E7" s="364"/>
      <c r="F7" s="364"/>
      <c r="G7" s="364"/>
      <c r="H7" s="321">
        <f>SUM(H3:H6)</f>
        <v>11137193.76</v>
      </c>
    </row>
    <row r="8" spans="1:8" ht="13.5" thickBot="1" x14ac:dyDescent="0.3">
      <c r="A8" s="357"/>
      <c r="B8" s="358"/>
      <c r="C8" s="358"/>
      <c r="D8" s="358"/>
      <c r="E8" s="358"/>
      <c r="F8" s="358"/>
      <c r="G8" s="358"/>
      <c r="H8" s="359"/>
    </row>
    <row r="9" spans="1:8" ht="15.75" customHeight="1" x14ac:dyDescent="0.25">
      <c r="A9" s="376" t="s">
        <v>257</v>
      </c>
      <c r="B9" s="377"/>
      <c r="C9" s="377"/>
      <c r="D9" s="377"/>
      <c r="E9" s="377"/>
      <c r="F9" s="377"/>
      <c r="G9" s="377"/>
      <c r="H9" s="378"/>
    </row>
    <row r="10" spans="1:8" ht="45" x14ac:dyDescent="0.25">
      <c r="A10" s="379" t="s">
        <v>175</v>
      </c>
      <c r="B10" s="380"/>
      <c r="C10" s="118" t="s">
        <v>176</v>
      </c>
      <c r="D10" s="118" t="s">
        <v>177</v>
      </c>
      <c r="E10" s="118" t="s">
        <v>178</v>
      </c>
      <c r="F10" s="118" t="s">
        <v>179</v>
      </c>
      <c r="G10" s="118" t="s">
        <v>180</v>
      </c>
      <c r="H10" s="119" t="s">
        <v>181</v>
      </c>
    </row>
    <row r="11" spans="1:8" ht="15.75" thickBot="1" x14ac:dyDescent="0.3">
      <c r="A11" s="381" t="s">
        <v>182</v>
      </c>
      <c r="B11" s="382"/>
      <c r="C11" s="148" t="s">
        <v>183</v>
      </c>
      <c r="D11" s="148" t="s">
        <v>184</v>
      </c>
      <c r="E11" s="149" t="s">
        <v>228</v>
      </c>
      <c r="F11" s="149" t="s">
        <v>229</v>
      </c>
      <c r="G11" s="150" t="s">
        <v>185</v>
      </c>
      <c r="H11" s="151" t="s">
        <v>227</v>
      </c>
    </row>
    <row r="12" spans="1:8" ht="15.75" thickBot="1" x14ac:dyDescent="0.3">
      <c r="A12" s="373" t="s">
        <v>189</v>
      </c>
      <c r="B12" s="374"/>
      <c r="C12" s="374"/>
      <c r="D12" s="374"/>
      <c r="E12" s="374"/>
      <c r="F12" s="374"/>
      <c r="G12" s="374"/>
      <c r="H12" s="375"/>
    </row>
    <row r="13" spans="1:8" ht="15" x14ac:dyDescent="0.25">
      <c r="A13" s="367">
        <v>1</v>
      </c>
      <c r="B13" s="228" t="s">
        <v>295</v>
      </c>
      <c r="C13" s="152">
        <f>'Motorista - Diurno'!D112</f>
        <v>11357.26</v>
      </c>
      <c r="D13" s="153">
        <v>2</v>
      </c>
      <c r="E13" s="154">
        <v>2</v>
      </c>
      <c r="F13" s="152">
        <f>C13*D13</f>
        <v>22714.52</v>
      </c>
      <c r="G13" s="152">
        <f>F13*E13</f>
        <v>45429.04</v>
      </c>
      <c r="H13" s="155">
        <f t="shared" ref="H13:H14" si="0">G13*12</f>
        <v>545148.48</v>
      </c>
    </row>
    <row r="14" spans="1:8" ht="15" x14ac:dyDescent="0.25">
      <c r="A14" s="368"/>
      <c r="B14" s="184" t="s">
        <v>296</v>
      </c>
      <c r="C14" s="156">
        <f>'Motorista - Noturno'!D113</f>
        <v>12306.9</v>
      </c>
      <c r="D14" s="146">
        <v>2</v>
      </c>
      <c r="E14" s="162">
        <v>2</v>
      </c>
      <c r="F14" s="156">
        <f t="shared" ref="F14" si="1">C14*D14</f>
        <v>24613.8</v>
      </c>
      <c r="G14" s="156">
        <f t="shared" ref="G14" si="2">F14*E14</f>
        <v>49227.6</v>
      </c>
      <c r="H14" s="163">
        <f t="shared" si="0"/>
        <v>590731.19999999995</v>
      </c>
    </row>
    <row r="15" spans="1:8" ht="15" x14ac:dyDescent="0.25">
      <c r="A15" s="368"/>
      <c r="B15" s="185" t="s">
        <v>236</v>
      </c>
      <c r="C15" s="147">
        <f>'Técnico de Enfermagem - Diurno'!D113</f>
        <v>10572.07</v>
      </c>
      <c r="D15" s="146">
        <v>2</v>
      </c>
      <c r="E15" s="162">
        <v>2</v>
      </c>
      <c r="F15" s="156">
        <f>C15*D15</f>
        <v>21144.14</v>
      </c>
      <c r="G15" s="156">
        <f>F15*E15</f>
        <v>42288.28</v>
      </c>
      <c r="H15" s="163">
        <f>G15*12</f>
        <v>507459.36</v>
      </c>
    </row>
    <row r="16" spans="1:8" ht="15.75" thickBot="1" x14ac:dyDescent="0.3">
      <c r="A16" s="369"/>
      <c r="B16" s="189" t="s">
        <v>235</v>
      </c>
      <c r="C16" s="157">
        <f>'Técnico de Enfermagem - Noturno'!D113</f>
        <v>11540.72</v>
      </c>
      <c r="D16" s="158">
        <v>2</v>
      </c>
      <c r="E16" s="159">
        <v>2</v>
      </c>
      <c r="F16" s="160">
        <f t="shared" ref="F16" si="3">C16*D16</f>
        <v>23081.439999999999</v>
      </c>
      <c r="G16" s="160">
        <f>F16*E16</f>
        <v>46162.879999999997</v>
      </c>
      <c r="H16" s="161">
        <f t="shared" ref="H16" si="4">G16*12</f>
        <v>553954.56000000006</v>
      </c>
    </row>
    <row r="17" spans="1:8" ht="15.75" thickBot="1" x14ac:dyDescent="0.3">
      <c r="A17" s="373" t="s">
        <v>237</v>
      </c>
      <c r="B17" s="374"/>
      <c r="C17" s="374"/>
      <c r="D17" s="374"/>
      <c r="E17" s="374"/>
      <c r="F17" s="374"/>
      <c r="G17" s="374"/>
      <c r="H17" s="375"/>
    </row>
    <row r="18" spans="1:8" ht="15" x14ac:dyDescent="0.25">
      <c r="A18" s="367">
        <v>2</v>
      </c>
      <c r="B18" s="228" t="s">
        <v>295</v>
      </c>
      <c r="C18" s="229">
        <f>'Motorista - Diurno'!F112</f>
        <v>11757.96</v>
      </c>
      <c r="D18" s="153">
        <v>2</v>
      </c>
      <c r="E18" s="154">
        <v>1</v>
      </c>
      <c r="F18" s="152">
        <f>C18*D18</f>
        <v>23515.919999999998</v>
      </c>
      <c r="G18" s="152">
        <f>F18*E18</f>
        <v>23515.919999999998</v>
      </c>
      <c r="H18" s="155">
        <f>G18*12</f>
        <v>282191.03999999998</v>
      </c>
    </row>
    <row r="19" spans="1:8" ht="15" x14ac:dyDescent="0.25">
      <c r="A19" s="368"/>
      <c r="B19" s="184" t="s">
        <v>296</v>
      </c>
      <c r="C19" s="147">
        <f>'Motorista - Noturno'!F113</f>
        <v>12809.95</v>
      </c>
      <c r="D19" s="146">
        <v>2</v>
      </c>
      <c r="E19" s="162">
        <v>1</v>
      </c>
      <c r="F19" s="156">
        <f t="shared" ref="F19" si="5">C19*D19</f>
        <v>25619.9</v>
      </c>
      <c r="G19" s="156">
        <f>F19*E19</f>
        <v>25619.9</v>
      </c>
      <c r="H19" s="163">
        <f t="shared" ref="H19:H23" si="6">G19*12</f>
        <v>307438.8</v>
      </c>
    </row>
    <row r="20" spans="1:8" ht="15" x14ac:dyDescent="0.25">
      <c r="A20" s="368"/>
      <c r="B20" s="184" t="s">
        <v>232</v>
      </c>
      <c r="C20" s="156">
        <f>'Enfermeiro - Diurno'!D112</f>
        <v>13253.77</v>
      </c>
      <c r="D20" s="146">
        <v>2</v>
      </c>
      <c r="E20" s="162">
        <v>1</v>
      </c>
      <c r="F20" s="156">
        <f>C20*D20</f>
        <v>26507.54</v>
      </c>
      <c r="G20" s="156">
        <f>F20*E20</f>
        <v>26507.54</v>
      </c>
      <c r="H20" s="163">
        <f t="shared" si="6"/>
        <v>318090.48</v>
      </c>
    </row>
    <row r="21" spans="1:8" ht="15" x14ac:dyDescent="0.25">
      <c r="A21" s="368"/>
      <c r="B21" s="184" t="s">
        <v>238</v>
      </c>
      <c r="C21" s="156">
        <f>'Enfermeiro - Noturno'!D113</f>
        <v>14559.04</v>
      </c>
      <c r="D21" s="146">
        <v>2</v>
      </c>
      <c r="E21" s="162">
        <v>1</v>
      </c>
      <c r="F21" s="156">
        <f t="shared" ref="F21" si="7">C21*D21</f>
        <v>29118.080000000002</v>
      </c>
      <c r="G21" s="156">
        <f t="shared" ref="G21" si="8">F21*E21</f>
        <v>29118.080000000002</v>
      </c>
      <c r="H21" s="163">
        <f t="shared" si="6"/>
        <v>349416.96000000002</v>
      </c>
    </row>
    <row r="22" spans="1:8" ht="15" x14ac:dyDescent="0.25">
      <c r="A22" s="368"/>
      <c r="B22" s="185" t="s">
        <v>233</v>
      </c>
      <c r="C22" s="156">
        <f>'Médico - Diurno '!D112</f>
        <v>41804.25</v>
      </c>
      <c r="D22" s="146">
        <v>2</v>
      </c>
      <c r="E22" s="162">
        <v>1</v>
      </c>
      <c r="F22" s="156">
        <f>C22*D22</f>
        <v>83608.5</v>
      </c>
      <c r="G22" s="156">
        <f>F22*E22</f>
        <v>83608.5</v>
      </c>
      <c r="H22" s="163">
        <f t="shared" si="6"/>
        <v>1003302</v>
      </c>
    </row>
    <row r="23" spans="1:8" ht="15.75" thickBot="1" x14ac:dyDescent="0.3">
      <c r="A23" s="369"/>
      <c r="B23" s="189" t="s">
        <v>239</v>
      </c>
      <c r="C23" s="160">
        <f>'Médico - Noturno'!D112</f>
        <v>46286</v>
      </c>
      <c r="D23" s="158">
        <v>2</v>
      </c>
      <c r="E23" s="159">
        <v>1</v>
      </c>
      <c r="F23" s="160">
        <f t="shared" ref="F23" si="9">C23*D23</f>
        <v>92572</v>
      </c>
      <c r="G23" s="160">
        <f t="shared" ref="G23" si="10">F23*E23</f>
        <v>92572</v>
      </c>
      <c r="H23" s="161">
        <f t="shared" si="6"/>
        <v>1110864</v>
      </c>
    </row>
    <row r="24" spans="1:8" ht="15.75" thickBot="1" x14ac:dyDescent="0.3">
      <c r="A24" s="373" t="s">
        <v>237</v>
      </c>
      <c r="B24" s="374"/>
      <c r="C24" s="374"/>
      <c r="D24" s="374"/>
      <c r="E24" s="374"/>
      <c r="F24" s="374"/>
      <c r="G24" s="374"/>
      <c r="H24" s="375"/>
    </row>
    <row r="25" spans="1:8" ht="15" x14ac:dyDescent="0.25">
      <c r="A25" s="370">
        <v>3</v>
      </c>
      <c r="B25" s="228" t="s">
        <v>295</v>
      </c>
      <c r="C25" s="229">
        <f>'Motorista - Diurno'!G112</f>
        <v>11757.96</v>
      </c>
      <c r="D25" s="153">
        <v>2</v>
      </c>
      <c r="E25" s="154">
        <v>1</v>
      </c>
      <c r="F25" s="152">
        <f>C25*D25</f>
        <v>23515.919999999998</v>
      </c>
      <c r="G25" s="152">
        <f t="shared" ref="G25:G30" si="11">F25*E25</f>
        <v>23515.919999999998</v>
      </c>
      <c r="H25" s="155">
        <f>G25*12</f>
        <v>282191.03999999998</v>
      </c>
    </row>
    <row r="26" spans="1:8" ht="15" x14ac:dyDescent="0.25">
      <c r="A26" s="371"/>
      <c r="B26" s="184" t="s">
        <v>296</v>
      </c>
      <c r="C26" s="147">
        <f>'Motorista - Noturno'!G113</f>
        <v>12809.95</v>
      </c>
      <c r="D26" s="146">
        <v>2</v>
      </c>
      <c r="E26" s="162">
        <v>1</v>
      </c>
      <c r="F26" s="156">
        <f t="shared" ref="F26" si="12">C26*D26</f>
        <v>25619.9</v>
      </c>
      <c r="G26" s="156">
        <f t="shared" si="11"/>
        <v>25619.9</v>
      </c>
      <c r="H26" s="163">
        <f t="shared" ref="H26" si="13">G26*12</f>
        <v>307438.8</v>
      </c>
    </row>
    <row r="27" spans="1:8" ht="15" x14ac:dyDescent="0.25">
      <c r="A27" s="371"/>
      <c r="B27" s="184" t="s">
        <v>232</v>
      </c>
      <c r="C27" s="147">
        <f>'Enfermeiro - Diurno'!E112</f>
        <v>13253.77</v>
      </c>
      <c r="D27" s="146">
        <v>2</v>
      </c>
      <c r="E27" s="162">
        <v>1</v>
      </c>
      <c r="F27" s="156">
        <f>C27*D27</f>
        <v>26507.54</v>
      </c>
      <c r="G27" s="156">
        <f t="shared" si="11"/>
        <v>26507.54</v>
      </c>
      <c r="H27" s="163">
        <f>G27*12</f>
        <v>318090.48</v>
      </c>
    </row>
    <row r="28" spans="1:8" ht="15" x14ac:dyDescent="0.25">
      <c r="A28" s="371"/>
      <c r="B28" s="184" t="s">
        <v>238</v>
      </c>
      <c r="C28" s="147">
        <f>'Enfermeiro - Noturno'!E113</f>
        <v>14559.04</v>
      </c>
      <c r="D28" s="146">
        <v>2</v>
      </c>
      <c r="E28" s="162">
        <v>1</v>
      </c>
      <c r="F28" s="156">
        <f t="shared" ref="F28" si="14">C28*D28</f>
        <v>29118.080000000002</v>
      </c>
      <c r="G28" s="156">
        <f t="shared" si="11"/>
        <v>29118.080000000002</v>
      </c>
      <c r="H28" s="163">
        <f t="shared" ref="H28" si="15">G28*12</f>
        <v>349416.96000000002</v>
      </c>
    </row>
    <row r="29" spans="1:8" ht="15" x14ac:dyDescent="0.25">
      <c r="A29" s="371"/>
      <c r="B29" s="185" t="s">
        <v>233</v>
      </c>
      <c r="C29" s="147">
        <f>'Médico - Diurno '!E112</f>
        <v>41804.25</v>
      </c>
      <c r="D29" s="146">
        <v>2</v>
      </c>
      <c r="E29" s="162">
        <v>1</v>
      </c>
      <c r="F29" s="156">
        <f>C29*D29</f>
        <v>83608.5</v>
      </c>
      <c r="G29" s="156">
        <f t="shared" si="11"/>
        <v>83608.5</v>
      </c>
      <c r="H29" s="163">
        <f>G29*12</f>
        <v>1003302</v>
      </c>
    </row>
    <row r="30" spans="1:8" ht="15.75" thickBot="1" x14ac:dyDescent="0.3">
      <c r="A30" s="372"/>
      <c r="B30" s="189" t="s">
        <v>239</v>
      </c>
      <c r="C30" s="157">
        <f>'Médico - Noturno'!E112</f>
        <v>46286</v>
      </c>
      <c r="D30" s="158">
        <v>2</v>
      </c>
      <c r="E30" s="159">
        <v>1</v>
      </c>
      <c r="F30" s="160">
        <f t="shared" ref="F30" si="16">C30*D30</f>
        <v>92572</v>
      </c>
      <c r="G30" s="160">
        <f t="shared" si="11"/>
        <v>92572</v>
      </c>
      <c r="H30" s="161">
        <f t="shared" ref="H30" si="17">G30*12</f>
        <v>1110864</v>
      </c>
    </row>
    <row r="31" spans="1:8" ht="15.75" thickBot="1" x14ac:dyDescent="0.3">
      <c r="A31" s="373" t="s">
        <v>189</v>
      </c>
      <c r="B31" s="374"/>
      <c r="C31" s="374"/>
      <c r="D31" s="374"/>
      <c r="E31" s="374"/>
      <c r="F31" s="374"/>
      <c r="G31" s="374"/>
      <c r="H31" s="375"/>
    </row>
    <row r="32" spans="1:8" ht="15" x14ac:dyDescent="0.25">
      <c r="A32" s="370">
        <v>4</v>
      </c>
      <c r="B32" s="228" t="s">
        <v>295</v>
      </c>
      <c r="C32" s="229">
        <f>'Motorista - Diurno'!E112</f>
        <v>11357.26</v>
      </c>
      <c r="D32" s="153">
        <v>2</v>
      </c>
      <c r="E32" s="154">
        <v>2</v>
      </c>
      <c r="F32" s="152">
        <f>C32*D32</f>
        <v>22714.52</v>
      </c>
      <c r="G32" s="152">
        <f>F32*E32</f>
        <v>45429.04</v>
      </c>
      <c r="H32" s="155">
        <f>G32*12</f>
        <v>545148.48</v>
      </c>
    </row>
    <row r="33" spans="1:8" ht="15" x14ac:dyDescent="0.25">
      <c r="A33" s="371"/>
      <c r="B33" s="184" t="s">
        <v>296</v>
      </c>
      <c r="C33" s="147">
        <f>'Motorista - Noturno'!E113</f>
        <v>12306.9</v>
      </c>
      <c r="D33" s="146">
        <v>2</v>
      </c>
      <c r="E33" s="162">
        <v>2</v>
      </c>
      <c r="F33" s="156">
        <f t="shared" ref="F33" si="18">C33*D33</f>
        <v>24613.8</v>
      </c>
      <c r="G33" s="156">
        <f>F33*E33</f>
        <v>49227.6</v>
      </c>
      <c r="H33" s="163">
        <f t="shared" ref="H33" si="19">G33*12</f>
        <v>590731.19999999995</v>
      </c>
    </row>
    <row r="34" spans="1:8" ht="15" x14ac:dyDescent="0.25">
      <c r="A34" s="371"/>
      <c r="B34" s="185" t="s">
        <v>236</v>
      </c>
      <c r="C34" s="147">
        <f>'Técnico de Enfermagem - Diurno'!E113</f>
        <v>10572.07</v>
      </c>
      <c r="D34" s="146">
        <v>2</v>
      </c>
      <c r="E34" s="162">
        <v>2</v>
      </c>
      <c r="F34" s="156">
        <f>C34*D34</f>
        <v>21144.14</v>
      </c>
      <c r="G34" s="156">
        <f>F34*E34</f>
        <v>42288.28</v>
      </c>
      <c r="H34" s="163">
        <f>G34*12</f>
        <v>507459.36</v>
      </c>
    </row>
    <row r="35" spans="1:8" ht="15.75" thickBot="1" x14ac:dyDescent="0.3">
      <c r="A35" s="372"/>
      <c r="B35" s="189" t="s">
        <v>235</v>
      </c>
      <c r="C35" s="157">
        <f>'Técnico de Enfermagem - Noturno'!E113</f>
        <v>11540.72</v>
      </c>
      <c r="D35" s="158">
        <v>2</v>
      </c>
      <c r="E35" s="159">
        <v>2</v>
      </c>
      <c r="F35" s="160">
        <f t="shared" ref="F35" si="20">C35*D35</f>
        <v>23081.439999999999</v>
      </c>
      <c r="G35" s="160">
        <f>F35*E35</f>
        <v>46162.879999999997</v>
      </c>
      <c r="H35" s="161">
        <f t="shared" ref="H35" si="21">G35*12</f>
        <v>553954.56000000006</v>
      </c>
    </row>
    <row r="36" spans="1:8" ht="15.75" customHeight="1" thickBot="1" x14ac:dyDescent="0.3">
      <c r="A36" s="365" t="s">
        <v>256</v>
      </c>
      <c r="B36" s="366"/>
      <c r="C36" s="366"/>
      <c r="D36" s="366"/>
      <c r="E36" s="366"/>
      <c r="F36" s="366"/>
      <c r="G36" s="366"/>
      <c r="H36" s="226">
        <f>SUM(H13:H35)</f>
        <v>11137193.76</v>
      </c>
    </row>
  </sheetData>
  <mergeCells count="15">
    <mergeCell ref="A8:H8"/>
    <mergeCell ref="A1:H1"/>
    <mergeCell ref="A7:G7"/>
    <mergeCell ref="A36:G36"/>
    <mergeCell ref="A13:A16"/>
    <mergeCell ref="A25:A30"/>
    <mergeCell ref="A32:A35"/>
    <mergeCell ref="A17:H17"/>
    <mergeCell ref="A18:A23"/>
    <mergeCell ref="A31:H31"/>
    <mergeCell ref="A12:H12"/>
    <mergeCell ref="A24:H24"/>
    <mergeCell ref="A9:H9"/>
    <mergeCell ref="A10:B10"/>
    <mergeCell ref="A11:B11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view="pageBreakPreview" topLeftCell="A7" zoomScaleNormal="115" zoomScaleSheetLayoutView="100" workbookViewId="0">
      <selection activeCell="A24" sqref="A24:H24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7" width="15.7109375" style="32" customWidth="1"/>
    <col min="8" max="16384" width="9.140625" style="28"/>
  </cols>
  <sheetData>
    <row r="1" spans="1:7" x14ac:dyDescent="0.25">
      <c r="A1" s="433"/>
      <c r="B1" s="434"/>
      <c r="C1" s="434"/>
      <c r="D1" s="434"/>
      <c r="E1" s="434"/>
      <c r="F1" s="434"/>
      <c r="G1" s="435"/>
    </row>
    <row r="2" spans="1:7" s="38" customFormat="1" ht="16.5" customHeight="1" x14ac:dyDescent="0.25">
      <c r="A2" s="407" t="s">
        <v>132</v>
      </c>
      <c r="B2" s="408"/>
      <c r="C2" s="408"/>
      <c r="D2" s="408"/>
      <c r="E2" s="408"/>
      <c r="F2" s="408"/>
      <c r="G2" s="409"/>
    </row>
    <row r="3" spans="1:7" s="38" customFormat="1" x14ac:dyDescent="0.25">
      <c r="A3" s="404" t="s">
        <v>129</v>
      </c>
      <c r="B3" s="405"/>
      <c r="C3" s="405"/>
      <c r="D3" s="405"/>
      <c r="E3" s="405"/>
      <c r="F3" s="405"/>
      <c r="G3" s="406"/>
    </row>
    <row r="4" spans="1:7" s="38" customFormat="1" ht="15" customHeight="1" x14ac:dyDescent="0.25">
      <c r="A4" s="40" t="s">
        <v>0</v>
      </c>
      <c r="B4" s="41" t="s">
        <v>1</v>
      </c>
      <c r="C4" s="436">
        <v>2024</v>
      </c>
      <c r="D4" s="436"/>
      <c r="E4" s="436"/>
      <c r="F4" s="436"/>
      <c r="G4" s="437"/>
    </row>
    <row r="5" spans="1:7" s="38" customFormat="1" ht="45" customHeight="1" x14ac:dyDescent="0.25">
      <c r="A5" s="40" t="s">
        <v>2</v>
      </c>
      <c r="B5" s="41" t="s">
        <v>140</v>
      </c>
      <c r="C5" s="438" t="s">
        <v>258</v>
      </c>
      <c r="D5" s="438"/>
      <c r="E5" s="438"/>
      <c r="F5" s="438"/>
      <c r="G5" s="439"/>
    </row>
    <row r="6" spans="1:7" s="38" customFormat="1" ht="15.75" customHeight="1" x14ac:dyDescent="0.25">
      <c r="A6" s="40" t="s">
        <v>3</v>
      </c>
      <c r="B6" s="41" t="s">
        <v>4</v>
      </c>
      <c r="C6" s="438" t="s">
        <v>277</v>
      </c>
      <c r="D6" s="438"/>
      <c r="E6" s="438"/>
      <c r="F6" s="438"/>
      <c r="G6" s="439"/>
    </row>
    <row r="7" spans="1:7" s="38" customFormat="1" x14ac:dyDescent="0.25">
      <c r="A7" s="40" t="s">
        <v>5</v>
      </c>
      <c r="B7" s="41" t="s">
        <v>143</v>
      </c>
      <c r="C7" s="438">
        <v>12</v>
      </c>
      <c r="D7" s="438"/>
      <c r="E7" s="438"/>
      <c r="F7" s="438"/>
      <c r="G7" s="439"/>
    </row>
    <row r="8" spans="1:7" s="38" customFormat="1" x14ac:dyDescent="0.25">
      <c r="A8" s="404" t="s">
        <v>6</v>
      </c>
      <c r="B8" s="405"/>
      <c r="C8" s="405"/>
      <c r="D8" s="405"/>
      <c r="E8" s="405"/>
      <c r="F8" s="405"/>
      <c r="G8" s="406"/>
    </row>
    <row r="9" spans="1:7" s="38" customFormat="1" x14ac:dyDescent="0.25">
      <c r="A9" s="404" t="s">
        <v>7</v>
      </c>
      <c r="B9" s="405"/>
      <c r="C9" s="405"/>
      <c r="D9" s="405"/>
      <c r="E9" s="405"/>
      <c r="F9" s="405"/>
      <c r="G9" s="406"/>
    </row>
    <row r="10" spans="1:7" s="38" customFormat="1" ht="15.75" customHeight="1" x14ac:dyDescent="0.25">
      <c r="A10" s="404" t="s">
        <v>8</v>
      </c>
      <c r="B10" s="405"/>
      <c r="C10" s="405"/>
      <c r="D10" s="405"/>
      <c r="E10" s="405"/>
      <c r="F10" s="405"/>
      <c r="G10" s="406"/>
    </row>
    <row r="11" spans="1:7" s="38" customFormat="1" ht="30" customHeight="1" x14ac:dyDescent="0.25">
      <c r="A11" s="440" t="s">
        <v>9</v>
      </c>
      <c r="B11" s="441"/>
      <c r="C11" s="441"/>
      <c r="D11" s="441" t="s">
        <v>10</v>
      </c>
      <c r="E11" s="441"/>
      <c r="F11" s="441"/>
      <c r="G11" s="442"/>
    </row>
    <row r="12" spans="1:7" s="38" customFormat="1" ht="45" customHeight="1" x14ac:dyDescent="0.25">
      <c r="A12" s="40">
        <v>1</v>
      </c>
      <c r="B12" s="383" t="s">
        <v>133</v>
      </c>
      <c r="C12" s="383"/>
      <c r="D12" s="387" t="s">
        <v>259</v>
      </c>
      <c r="E12" s="388"/>
      <c r="F12" s="388"/>
      <c r="G12" s="389"/>
    </row>
    <row r="13" spans="1:7" s="38" customFormat="1" ht="30" customHeight="1" x14ac:dyDescent="0.25">
      <c r="A13" s="40">
        <v>2</v>
      </c>
      <c r="B13" s="383" t="s">
        <v>11</v>
      </c>
      <c r="C13" s="383"/>
      <c r="D13" s="385">
        <v>3248.32</v>
      </c>
      <c r="E13" s="386"/>
      <c r="F13" s="393">
        <v>3772.76</v>
      </c>
      <c r="G13" s="394"/>
    </row>
    <row r="14" spans="1:7" s="38" customFormat="1" ht="15.75" customHeight="1" x14ac:dyDescent="0.25">
      <c r="A14" s="40">
        <v>3</v>
      </c>
      <c r="B14" s="383" t="s">
        <v>12</v>
      </c>
      <c r="C14" s="383"/>
      <c r="D14" s="387" t="s">
        <v>255</v>
      </c>
      <c r="E14" s="388"/>
      <c r="F14" s="388"/>
      <c r="G14" s="389"/>
    </row>
    <row r="15" spans="1:7" s="38" customFormat="1" x14ac:dyDescent="0.25">
      <c r="A15" s="40">
        <v>4</v>
      </c>
      <c r="B15" s="384" t="s">
        <v>13</v>
      </c>
      <c r="C15" s="384"/>
      <c r="D15" s="390">
        <v>2024</v>
      </c>
      <c r="E15" s="391"/>
      <c r="F15" s="391"/>
      <c r="G15" s="392"/>
    </row>
    <row r="16" spans="1:7" s="39" customFormat="1" ht="31.5" x14ac:dyDescent="0.25">
      <c r="A16" s="402" t="s">
        <v>14</v>
      </c>
      <c r="B16" s="403"/>
      <c r="C16" s="403"/>
      <c r="D16" s="318" t="s">
        <v>299</v>
      </c>
      <c r="E16" s="319" t="s">
        <v>298</v>
      </c>
      <c r="F16" s="318" t="s">
        <v>300</v>
      </c>
      <c r="G16" s="320" t="s">
        <v>301</v>
      </c>
    </row>
    <row r="17" spans="1:7" s="39" customFormat="1" x14ac:dyDescent="0.25">
      <c r="A17" s="282">
        <v>1</v>
      </c>
      <c r="B17" s="420" t="s">
        <v>15</v>
      </c>
      <c r="C17" s="420"/>
      <c r="D17" s="61" t="s">
        <v>10</v>
      </c>
      <c r="E17" s="61" t="s">
        <v>10</v>
      </c>
      <c r="F17" s="61" t="s">
        <v>10</v>
      </c>
      <c r="G17" s="62" t="s">
        <v>10</v>
      </c>
    </row>
    <row r="18" spans="1:7" s="38" customFormat="1" ht="15.75" customHeight="1" x14ac:dyDescent="0.25">
      <c r="A18" s="45" t="s">
        <v>0</v>
      </c>
      <c r="B18" s="46" t="s">
        <v>16</v>
      </c>
      <c r="C18" s="43"/>
      <c r="D18" s="81">
        <f>D13</f>
        <v>3248.32</v>
      </c>
      <c r="E18" s="81">
        <f>D13</f>
        <v>3248.32</v>
      </c>
      <c r="F18" s="69">
        <f>F13</f>
        <v>3772.76</v>
      </c>
      <c r="G18" s="209">
        <f>F13</f>
        <v>3772.76</v>
      </c>
    </row>
    <row r="19" spans="1:7" s="38" customFormat="1" ht="15.75" customHeight="1" x14ac:dyDescent="0.25">
      <c r="A19" s="45" t="s">
        <v>2</v>
      </c>
      <c r="B19" s="46" t="s">
        <v>17</v>
      </c>
      <c r="C19" s="82"/>
      <c r="D19" s="132"/>
      <c r="E19" s="132"/>
      <c r="F19" s="132"/>
      <c r="G19" s="198"/>
    </row>
    <row r="20" spans="1:7" s="38" customFormat="1" ht="15.75" customHeight="1" x14ac:dyDescent="0.25">
      <c r="A20" s="45" t="s">
        <v>3</v>
      </c>
      <c r="B20" s="46" t="s">
        <v>18</v>
      </c>
      <c r="C20" s="116" t="s">
        <v>243</v>
      </c>
      <c r="D20" s="79">
        <f>40%*1412</f>
        <v>564.79999999999995</v>
      </c>
      <c r="E20" s="79">
        <f>40%*1412</f>
        <v>564.79999999999995</v>
      </c>
      <c r="F20" s="79">
        <f t="shared" ref="F20:G20" si="0">40%*1412</f>
        <v>564.79999999999995</v>
      </c>
      <c r="G20" s="199">
        <f t="shared" si="0"/>
        <v>564.79999999999995</v>
      </c>
    </row>
    <row r="21" spans="1:7" s="38" customFormat="1" ht="15.75" customHeight="1" x14ac:dyDescent="0.25">
      <c r="A21" s="45" t="s">
        <v>5</v>
      </c>
      <c r="B21" s="46" t="s">
        <v>19</v>
      </c>
      <c r="C21" s="82"/>
      <c r="D21" s="132"/>
      <c r="E21" s="132"/>
      <c r="F21" s="132"/>
      <c r="G21" s="198"/>
    </row>
    <row r="22" spans="1:7" s="38" customFormat="1" ht="15.75" customHeight="1" x14ac:dyDescent="0.25">
      <c r="A22" s="45" t="s">
        <v>20</v>
      </c>
      <c r="B22" s="46" t="s">
        <v>204</v>
      </c>
      <c r="C22" s="82"/>
      <c r="D22" s="132"/>
      <c r="E22" s="132"/>
      <c r="F22" s="132"/>
      <c r="G22" s="198"/>
    </row>
    <row r="23" spans="1:7" s="38" customFormat="1" x14ac:dyDescent="0.25">
      <c r="A23" s="45" t="s">
        <v>21</v>
      </c>
      <c r="B23" s="46" t="s">
        <v>138</v>
      </c>
      <c r="C23" s="49"/>
      <c r="D23" s="133"/>
      <c r="E23" s="133"/>
      <c r="F23" s="133"/>
      <c r="G23" s="200"/>
    </row>
    <row r="24" spans="1:7" s="38" customFormat="1" ht="15.75" customHeight="1" x14ac:dyDescent="0.25">
      <c r="A24" s="45" t="s">
        <v>22</v>
      </c>
      <c r="B24" s="47" t="s">
        <v>139</v>
      </c>
      <c r="C24" s="49"/>
      <c r="D24" s="133"/>
      <c r="E24" s="133"/>
      <c r="F24" s="133"/>
      <c r="G24" s="200"/>
    </row>
    <row r="25" spans="1:7" s="39" customFormat="1" ht="15.75" customHeight="1" x14ac:dyDescent="0.25">
      <c r="A25" s="400" t="s">
        <v>152</v>
      </c>
      <c r="B25" s="401"/>
      <c r="C25" s="401"/>
      <c r="D25" s="93">
        <f>SUM(D18:D24)</f>
        <v>3813.12</v>
      </c>
      <c r="E25" s="93">
        <f>SUM(E18:E24)</f>
        <v>3813.12</v>
      </c>
      <c r="F25" s="93">
        <f>SUM(F18:F24)</f>
        <v>4337.5600000000004</v>
      </c>
      <c r="G25" s="201">
        <f>SUM(G18:G24)</f>
        <v>4337.5600000000004</v>
      </c>
    </row>
    <row r="26" spans="1:7" s="39" customFormat="1" x14ac:dyDescent="0.25">
      <c r="A26" s="402" t="s">
        <v>51</v>
      </c>
      <c r="B26" s="403"/>
      <c r="C26" s="403"/>
      <c r="D26" s="284"/>
      <c r="E26" s="284"/>
      <c r="F26" s="284"/>
      <c r="G26" s="285"/>
    </row>
    <row r="27" spans="1:7" s="38" customFormat="1" x14ac:dyDescent="0.25">
      <c r="A27" s="278">
        <v>2</v>
      </c>
      <c r="B27" s="396" t="s">
        <v>205</v>
      </c>
      <c r="C27" s="412"/>
      <c r="D27" s="74" t="s">
        <v>10</v>
      </c>
      <c r="E27" s="74" t="s">
        <v>10</v>
      </c>
      <c r="F27" s="74" t="s">
        <v>10</v>
      </c>
      <c r="G27" s="188" t="s">
        <v>10</v>
      </c>
    </row>
    <row r="28" spans="1:7" s="38" customFormat="1" x14ac:dyDescent="0.25">
      <c r="A28" s="50" t="s">
        <v>0</v>
      </c>
      <c r="B28" s="51" t="s">
        <v>28</v>
      </c>
      <c r="C28" s="59">
        <f>1/12</f>
        <v>8.3299999999999999E-2</v>
      </c>
      <c r="D28" s="71">
        <f>(D25)*C28</f>
        <v>317.63</v>
      </c>
      <c r="E28" s="71">
        <f>(E25)*C28</f>
        <v>317.63</v>
      </c>
      <c r="F28" s="71">
        <f>(F25)*C28</f>
        <v>361.32</v>
      </c>
      <c r="G28" s="202">
        <f>(G25)*C28</f>
        <v>361.32</v>
      </c>
    </row>
    <row r="29" spans="1:7" s="38" customFormat="1" x14ac:dyDescent="0.25">
      <c r="A29" s="50" t="s">
        <v>2</v>
      </c>
      <c r="B29" s="51" t="s">
        <v>148</v>
      </c>
      <c r="C29" s="59">
        <v>0.1111</v>
      </c>
      <c r="D29" s="71">
        <f>D25*C29</f>
        <v>423.64</v>
      </c>
      <c r="E29" s="71">
        <f>E25*C29</f>
        <v>423.64</v>
      </c>
      <c r="F29" s="71">
        <f>F25*C29</f>
        <v>481.9</v>
      </c>
      <c r="G29" s="202">
        <f>G25*C29</f>
        <v>481.9</v>
      </c>
    </row>
    <row r="30" spans="1:7" x14ac:dyDescent="0.25">
      <c r="A30" s="418" t="s">
        <v>27</v>
      </c>
      <c r="B30" s="419"/>
      <c r="C30" s="99">
        <f>SUM(C28:C29)</f>
        <v>0.19439999999999999</v>
      </c>
      <c r="D30" s="85">
        <f>SUM(D28:D29)</f>
        <v>741.27</v>
      </c>
      <c r="E30" s="85">
        <f>SUM(E28:E29)</f>
        <v>741.27</v>
      </c>
      <c r="F30" s="85">
        <f>SUM(F28:F29)</f>
        <v>843.22</v>
      </c>
      <c r="G30" s="203">
        <f>SUM(G28:G29)</f>
        <v>843.22</v>
      </c>
    </row>
    <row r="31" spans="1:7" ht="32.25" customHeight="1" x14ac:dyDescent="0.25">
      <c r="A31" s="415" t="s">
        <v>206</v>
      </c>
      <c r="B31" s="416"/>
      <c r="C31" s="416"/>
      <c r="D31" s="416"/>
      <c r="E31" s="416"/>
      <c r="F31" s="416"/>
      <c r="G31" s="417"/>
    </row>
    <row r="32" spans="1:7" x14ac:dyDescent="0.25">
      <c r="A32" s="277" t="s">
        <v>215</v>
      </c>
      <c r="B32" s="413" t="s">
        <v>25</v>
      </c>
      <c r="C32" s="414"/>
      <c r="D32" s="280"/>
      <c r="E32" s="280"/>
      <c r="F32" s="280"/>
      <c r="G32" s="204"/>
    </row>
    <row r="33" spans="1:7" x14ac:dyDescent="0.25">
      <c r="A33" s="50" t="s">
        <v>0</v>
      </c>
      <c r="B33" s="87" t="s">
        <v>207</v>
      </c>
      <c r="C33" s="59">
        <v>0.2</v>
      </c>
      <c r="D33" s="71">
        <f t="shared" ref="D33:D40" si="1">($E$25+D$30)*C33</f>
        <v>910.88</v>
      </c>
      <c r="E33" s="71">
        <f t="shared" ref="E33:E40" si="2">($E$25+E$30)*C33</f>
        <v>910.88</v>
      </c>
      <c r="F33" s="71">
        <f t="shared" ref="F33:F40" si="3">($E$25+F$30)*C33</f>
        <v>931.27</v>
      </c>
      <c r="G33" s="202">
        <f t="shared" ref="G33:G40" si="4">($E$25+G$30)*C33</f>
        <v>931.27</v>
      </c>
    </row>
    <row r="34" spans="1:7" x14ac:dyDescent="0.25">
      <c r="A34" s="50" t="s">
        <v>2</v>
      </c>
      <c r="B34" s="87" t="s">
        <v>208</v>
      </c>
      <c r="C34" s="88">
        <v>1.4999999999999999E-2</v>
      </c>
      <c r="D34" s="71">
        <f t="shared" si="1"/>
        <v>68.319999999999993</v>
      </c>
      <c r="E34" s="71">
        <f t="shared" si="2"/>
        <v>68.319999999999993</v>
      </c>
      <c r="F34" s="71">
        <f t="shared" si="3"/>
        <v>69.849999999999994</v>
      </c>
      <c r="G34" s="202">
        <f t="shared" si="4"/>
        <v>69.849999999999994</v>
      </c>
    </row>
    <row r="35" spans="1:7" x14ac:dyDescent="0.25">
      <c r="A35" s="50" t="s">
        <v>3</v>
      </c>
      <c r="B35" s="87" t="s">
        <v>209</v>
      </c>
      <c r="C35" s="88">
        <v>0.01</v>
      </c>
      <c r="D35" s="71">
        <f t="shared" si="1"/>
        <v>45.54</v>
      </c>
      <c r="E35" s="71">
        <f t="shared" si="2"/>
        <v>45.54</v>
      </c>
      <c r="F35" s="71">
        <f t="shared" si="3"/>
        <v>46.56</v>
      </c>
      <c r="G35" s="202">
        <f t="shared" si="4"/>
        <v>46.56</v>
      </c>
    </row>
    <row r="36" spans="1:7" ht="31.5" x14ac:dyDescent="0.25">
      <c r="A36" s="50" t="s">
        <v>5</v>
      </c>
      <c r="B36" s="276" t="s">
        <v>210</v>
      </c>
      <c r="C36" s="88">
        <v>2E-3</v>
      </c>
      <c r="D36" s="71">
        <f t="shared" si="1"/>
        <v>9.11</v>
      </c>
      <c r="E36" s="71">
        <f t="shared" si="2"/>
        <v>9.11</v>
      </c>
      <c r="F36" s="71">
        <f t="shared" si="3"/>
        <v>9.31</v>
      </c>
      <c r="G36" s="202">
        <f t="shared" si="4"/>
        <v>9.31</v>
      </c>
    </row>
    <row r="37" spans="1:7" x14ac:dyDescent="0.25">
      <c r="A37" s="50" t="s">
        <v>20</v>
      </c>
      <c r="B37" s="87" t="s">
        <v>211</v>
      </c>
      <c r="C37" s="88">
        <v>2.5000000000000001E-2</v>
      </c>
      <c r="D37" s="71">
        <f t="shared" si="1"/>
        <v>113.86</v>
      </c>
      <c r="E37" s="71">
        <f t="shared" si="2"/>
        <v>113.86</v>
      </c>
      <c r="F37" s="71">
        <f t="shared" si="3"/>
        <v>116.41</v>
      </c>
      <c r="G37" s="202">
        <f t="shared" si="4"/>
        <v>116.41</v>
      </c>
    </row>
    <row r="38" spans="1:7" x14ac:dyDescent="0.25">
      <c r="A38" s="50" t="s">
        <v>21</v>
      </c>
      <c r="B38" s="115" t="s">
        <v>212</v>
      </c>
      <c r="C38" s="88">
        <v>0.08</v>
      </c>
      <c r="D38" s="71">
        <f t="shared" si="1"/>
        <v>364.35</v>
      </c>
      <c r="E38" s="71">
        <f t="shared" si="2"/>
        <v>364.35</v>
      </c>
      <c r="F38" s="71">
        <f t="shared" si="3"/>
        <v>372.51</v>
      </c>
      <c r="G38" s="202">
        <f t="shared" si="4"/>
        <v>372.51</v>
      </c>
    </row>
    <row r="39" spans="1:7" ht="30.75" customHeight="1" x14ac:dyDescent="0.25">
      <c r="A39" s="50" t="s">
        <v>22</v>
      </c>
      <c r="B39" s="276" t="s">
        <v>213</v>
      </c>
      <c r="C39" s="88">
        <v>0.03</v>
      </c>
      <c r="D39" s="71">
        <f t="shared" si="1"/>
        <v>136.63</v>
      </c>
      <c r="E39" s="71">
        <f t="shared" si="2"/>
        <v>136.63</v>
      </c>
      <c r="F39" s="71">
        <f t="shared" si="3"/>
        <v>139.69</v>
      </c>
      <c r="G39" s="202">
        <f t="shared" si="4"/>
        <v>139.69</v>
      </c>
    </row>
    <row r="40" spans="1:7" x14ac:dyDescent="0.25">
      <c r="A40" s="50" t="s">
        <v>26</v>
      </c>
      <c r="B40" s="114" t="s">
        <v>214</v>
      </c>
      <c r="C40" s="88">
        <v>6.0000000000000001E-3</v>
      </c>
      <c r="D40" s="71">
        <f t="shared" si="1"/>
        <v>27.33</v>
      </c>
      <c r="E40" s="71">
        <f t="shared" si="2"/>
        <v>27.33</v>
      </c>
      <c r="F40" s="71">
        <f t="shared" si="3"/>
        <v>27.94</v>
      </c>
      <c r="G40" s="202">
        <f t="shared" si="4"/>
        <v>27.94</v>
      </c>
    </row>
    <row r="41" spans="1:7" s="30" customFormat="1" x14ac:dyDescent="0.25">
      <c r="A41" s="418" t="s">
        <v>27</v>
      </c>
      <c r="B41" s="419"/>
      <c r="C41" s="60">
        <f>SUM(C33:C40)</f>
        <v>0.36799999999999999</v>
      </c>
      <c r="D41" s="89">
        <f>SUM(D33:D40)</f>
        <v>1676.02</v>
      </c>
      <c r="E41" s="89">
        <f>SUM(E33:E40)</f>
        <v>1676.02</v>
      </c>
      <c r="F41" s="89">
        <f>SUM(F33:F40)</f>
        <v>1713.54</v>
      </c>
      <c r="G41" s="205">
        <f>SUM(G33:G40)</f>
        <v>1713.54</v>
      </c>
    </row>
    <row r="42" spans="1:7" s="30" customFormat="1" x14ac:dyDescent="0.25">
      <c r="A42" s="80" t="s">
        <v>216</v>
      </c>
      <c r="B42" s="427" t="s">
        <v>217</v>
      </c>
      <c r="C42" s="428"/>
      <c r="D42" s="281"/>
      <c r="E42" s="112"/>
      <c r="F42" s="281"/>
      <c r="G42" s="293"/>
    </row>
    <row r="43" spans="1:7" s="30" customFormat="1" x14ac:dyDescent="0.25">
      <c r="A43" s="98" t="s">
        <v>0</v>
      </c>
      <c r="B43" s="56" t="s">
        <v>144</v>
      </c>
      <c r="C43" s="113"/>
      <c r="D43" s="307">
        <v>129.66999999999999</v>
      </c>
      <c r="E43" s="307">
        <v>129.66999999999999</v>
      </c>
      <c r="F43" s="307">
        <v>129.66999999999999</v>
      </c>
      <c r="G43" s="308">
        <v>129.66999999999999</v>
      </c>
    </row>
    <row r="44" spans="1:7" s="30" customFormat="1" x14ac:dyDescent="0.25">
      <c r="A44" s="48" t="s">
        <v>2</v>
      </c>
      <c r="B44" s="47" t="s">
        <v>218</v>
      </c>
      <c r="C44" s="79">
        <v>581.85</v>
      </c>
      <c r="D44" s="81">
        <f>C44-(C44*0.99%)</f>
        <v>576.09</v>
      </c>
      <c r="E44" s="81">
        <f>C44-(C44*0.99%)</f>
        <v>576.09</v>
      </c>
      <c r="F44" s="81">
        <f>C44-(C44*0.99%)</f>
        <v>576.09</v>
      </c>
      <c r="G44" s="63">
        <f>C44-(C44*0.99%)</f>
        <v>576.09</v>
      </c>
    </row>
    <row r="45" spans="1:7" s="30" customFormat="1" x14ac:dyDescent="0.25">
      <c r="A45" s="50" t="s">
        <v>5</v>
      </c>
      <c r="B45" s="51" t="s">
        <v>134</v>
      </c>
      <c r="C45" s="90"/>
      <c r="D45" s="91">
        <v>0</v>
      </c>
      <c r="E45" s="91">
        <v>0</v>
      </c>
      <c r="F45" s="91">
        <v>0</v>
      </c>
      <c r="G45" s="68">
        <v>0</v>
      </c>
    </row>
    <row r="46" spans="1:7" s="30" customFormat="1" x14ac:dyDescent="0.25">
      <c r="A46" s="50" t="s">
        <v>20</v>
      </c>
      <c r="B46" s="51" t="s">
        <v>135</v>
      </c>
      <c r="C46" s="59">
        <v>0.5</v>
      </c>
      <c r="D46" s="91">
        <f>D18*C46*0.0199*2/12</f>
        <v>5.39</v>
      </c>
      <c r="E46" s="91">
        <f>E18*C46*0.0199*2/12</f>
        <v>5.39</v>
      </c>
      <c r="F46" s="91">
        <f>F18*C46*0.0199*2/12</f>
        <v>6.26</v>
      </c>
      <c r="G46" s="68">
        <f>G18*C46*0.0199*2/12</f>
        <v>6.26</v>
      </c>
    </row>
    <row r="47" spans="1:7" s="30" customFormat="1" x14ac:dyDescent="0.25">
      <c r="A47" s="50" t="s">
        <v>21</v>
      </c>
      <c r="B47" s="51" t="s">
        <v>136</v>
      </c>
      <c r="C47" s="71">
        <v>34733.21</v>
      </c>
      <c r="D47" s="84">
        <f>(C47*0.5%)/12</f>
        <v>14.47</v>
      </c>
      <c r="E47" s="84">
        <f>(C47*0.5%)/12</f>
        <v>14.47</v>
      </c>
      <c r="F47" s="84">
        <f>(C47*0.5%)/12</f>
        <v>14.47</v>
      </c>
      <c r="G47" s="66">
        <f>(C47*0.5%)/12</f>
        <v>14.47</v>
      </c>
    </row>
    <row r="48" spans="1:7" s="30" customFormat="1" ht="15.75" customHeight="1" x14ac:dyDescent="0.25">
      <c r="A48" s="418" t="s">
        <v>23</v>
      </c>
      <c r="B48" s="419"/>
      <c r="C48" s="419"/>
      <c r="D48" s="92">
        <f>SUM(D43:D47)</f>
        <v>725.62</v>
      </c>
      <c r="E48" s="92">
        <f>SUM(E43:E47)</f>
        <v>725.62</v>
      </c>
      <c r="F48" s="92">
        <f>SUM(F43:F47)</f>
        <v>726.49</v>
      </c>
      <c r="G48" s="207">
        <f>SUM(G43:G47)</f>
        <v>726.49</v>
      </c>
    </row>
    <row r="49" spans="1:7" s="30" customFormat="1" ht="15.75" customHeight="1" x14ac:dyDescent="0.25">
      <c r="A49" s="402" t="s">
        <v>151</v>
      </c>
      <c r="B49" s="403"/>
      <c r="C49" s="403"/>
      <c r="D49" s="284"/>
      <c r="E49" s="284"/>
      <c r="F49" s="284"/>
      <c r="G49" s="285"/>
    </row>
    <row r="50" spans="1:7" s="30" customFormat="1" ht="15.75" customHeight="1" x14ac:dyDescent="0.25">
      <c r="A50" s="282" t="s">
        <v>141</v>
      </c>
      <c r="B50" s="104" t="s">
        <v>145</v>
      </c>
      <c r="C50" s="283"/>
      <c r="D50" s="61">
        <f>D30</f>
        <v>741.27</v>
      </c>
      <c r="E50" s="61">
        <f>E30</f>
        <v>741.27</v>
      </c>
      <c r="F50" s="61">
        <f>F30</f>
        <v>843.22</v>
      </c>
      <c r="G50" s="62">
        <f>G30</f>
        <v>843.22</v>
      </c>
    </row>
    <row r="51" spans="1:7" s="30" customFormat="1" ht="15.75" customHeight="1" x14ac:dyDescent="0.25">
      <c r="A51" s="282" t="s">
        <v>215</v>
      </c>
      <c r="B51" s="104" t="s">
        <v>146</v>
      </c>
      <c r="C51" s="283"/>
      <c r="D51" s="61">
        <f>D41</f>
        <v>1676.02</v>
      </c>
      <c r="E51" s="61">
        <f>E41</f>
        <v>1676.02</v>
      </c>
      <c r="F51" s="61">
        <f>F41</f>
        <v>1713.54</v>
      </c>
      <c r="G51" s="62">
        <f>G41</f>
        <v>1713.54</v>
      </c>
    </row>
    <row r="52" spans="1:7" s="30" customFormat="1" ht="15.75" customHeight="1" x14ac:dyDescent="0.25">
      <c r="A52" s="282" t="s">
        <v>216</v>
      </c>
      <c r="B52" s="104" t="s">
        <v>147</v>
      </c>
      <c r="C52" s="283"/>
      <c r="D52" s="61">
        <f>D48</f>
        <v>725.62</v>
      </c>
      <c r="E52" s="61">
        <f>E48</f>
        <v>725.62</v>
      </c>
      <c r="F52" s="61">
        <f>F48</f>
        <v>726.49</v>
      </c>
      <c r="G52" s="62">
        <f>G48</f>
        <v>726.49</v>
      </c>
    </row>
    <row r="53" spans="1:7" s="30" customFormat="1" ht="15.75" customHeight="1" x14ac:dyDescent="0.25">
      <c r="A53" s="400" t="s">
        <v>153</v>
      </c>
      <c r="B53" s="401"/>
      <c r="C53" s="401"/>
      <c r="D53" s="93">
        <f>SUM(D50:D52)</f>
        <v>3142.91</v>
      </c>
      <c r="E53" s="93">
        <f>SUM(E50:E52)</f>
        <v>3142.91</v>
      </c>
      <c r="F53" s="93">
        <f>SUM(F50:F52)</f>
        <v>3283.25</v>
      </c>
      <c r="G53" s="201">
        <f>SUM(G50:G52)</f>
        <v>3283.25</v>
      </c>
    </row>
    <row r="54" spans="1:7" s="30" customFormat="1" ht="15.75" customHeight="1" x14ac:dyDescent="0.25">
      <c r="A54" s="402" t="s">
        <v>162</v>
      </c>
      <c r="B54" s="403"/>
      <c r="C54" s="403"/>
      <c r="D54" s="284"/>
      <c r="E54" s="284"/>
      <c r="F54" s="284"/>
      <c r="G54" s="285"/>
    </row>
    <row r="55" spans="1:7" s="30" customFormat="1" ht="15.75" customHeight="1" x14ac:dyDescent="0.25">
      <c r="A55" s="278" t="s">
        <v>200</v>
      </c>
      <c r="B55" s="396" t="s">
        <v>32</v>
      </c>
      <c r="C55" s="397"/>
      <c r="D55" s="74" t="s">
        <v>10</v>
      </c>
      <c r="E55" s="74" t="s">
        <v>10</v>
      </c>
      <c r="F55" s="74" t="s">
        <v>10</v>
      </c>
      <c r="G55" s="188" t="s">
        <v>10</v>
      </c>
    </row>
    <row r="56" spans="1:7" s="30" customFormat="1" ht="15.75" customHeight="1" x14ac:dyDescent="0.25">
      <c r="A56" s="50" t="s">
        <v>0</v>
      </c>
      <c r="B56" s="51" t="s">
        <v>33</v>
      </c>
      <c r="C56" s="59">
        <v>4.5999999999999999E-3</v>
      </c>
      <c r="D56" s="71">
        <f>D$25*C56</f>
        <v>17.54</v>
      </c>
      <c r="E56" s="71">
        <f>E$25*C56</f>
        <v>17.54</v>
      </c>
      <c r="F56" s="71">
        <f>F$25*C56</f>
        <v>19.95</v>
      </c>
      <c r="G56" s="202">
        <f>G$25*C56</f>
        <v>19.95</v>
      </c>
    </row>
    <row r="57" spans="1:7" s="30" customFormat="1" ht="15.75" customHeight="1" x14ac:dyDescent="0.25">
      <c r="A57" s="50" t="s">
        <v>2</v>
      </c>
      <c r="B57" s="51" t="s">
        <v>34</v>
      </c>
      <c r="C57" s="59">
        <v>4.0000000000000002E-4</v>
      </c>
      <c r="D57" s="71">
        <f>D$25*C57</f>
        <v>1.53</v>
      </c>
      <c r="E57" s="71">
        <f>E$25*C57</f>
        <v>1.53</v>
      </c>
      <c r="F57" s="71">
        <f>F$25*C57</f>
        <v>1.74</v>
      </c>
      <c r="G57" s="202">
        <f>G$25*C57</f>
        <v>1.74</v>
      </c>
    </row>
    <row r="58" spans="1:7" s="30" customFormat="1" ht="15.75" customHeight="1" x14ac:dyDescent="0.25">
      <c r="A58" s="50" t="s">
        <v>3</v>
      </c>
      <c r="B58" s="51" t="s">
        <v>35</v>
      </c>
      <c r="C58" s="59">
        <v>1.9400000000000001E-2</v>
      </c>
      <c r="D58" s="71">
        <f>D$25*C58</f>
        <v>73.97</v>
      </c>
      <c r="E58" s="71">
        <f>E$25*C58</f>
        <v>73.97</v>
      </c>
      <c r="F58" s="71">
        <f>F$25*C58</f>
        <v>84.15</v>
      </c>
      <c r="G58" s="202">
        <f>G$25*C58</f>
        <v>84.15</v>
      </c>
    </row>
    <row r="59" spans="1:7" s="30" customFormat="1" ht="15.75" customHeight="1" x14ac:dyDescent="0.25">
      <c r="A59" s="50" t="s">
        <v>5</v>
      </c>
      <c r="B59" s="105" t="s">
        <v>174</v>
      </c>
      <c r="C59" s="59">
        <v>7.1000000000000004E-3</v>
      </c>
      <c r="D59" s="71">
        <f>D$25*C59</f>
        <v>27.07</v>
      </c>
      <c r="E59" s="71">
        <f>E$25*C59</f>
        <v>27.07</v>
      </c>
      <c r="F59" s="71">
        <f>F$25*C59</f>
        <v>30.8</v>
      </c>
      <c r="G59" s="202">
        <f>G$25*C59</f>
        <v>30.8</v>
      </c>
    </row>
    <row r="60" spans="1:7" s="30" customFormat="1" ht="32.25" customHeight="1" x14ac:dyDescent="0.25">
      <c r="A60" s="50" t="s">
        <v>20</v>
      </c>
      <c r="B60" s="51" t="s">
        <v>219</v>
      </c>
      <c r="C60" s="59">
        <v>0.04</v>
      </c>
      <c r="D60" s="71">
        <f>D$25*C60</f>
        <v>152.52000000000001</v>
      </c>
      <c r="E60" s="71">
        <f>E$25*C60</f>
        <v>152.52000000000001</v>
      </c>
      <c r="F60" s="71">
        <f>F$25*C60</f>
        <v>173.5</v>
      </c>
      <c r="G60" s="202">
        <f>G$25*C60</f>
        <v>173.5</v>
      </c>
    </row>
    <row r="61" spans="1:7" s="30" customFormat="1" x14ac:dyDescent="0.25">
      <c r="A61" s="400" t="s">
        <v>154</v>
      </c>
      <c r="B61" s="401"/>
      <c r="C61" s="401"/>
      <c r="D61" s="93">
        <f>SUM(D56:D60)</f>
        <v>272.63</v>
      </c>
      <c r="E61" s="93">
        <f>SUM(E56:E60)</f>
        <v>272.63</v>
      </c>
      <c r="F61" s="93">
        <f>SUM(F56:F60)</f>
        <v>310.14</v>
      </c>
      <c r="G61" s="201">
        <f>SUM(G56:G60)</f>
        <v>310.14</v>
      </c>
    </row>
    <row r="62" spans="1:7" s="30" customFormat="1" x14ac:dyDescent="0.25">
      <c r="A62" s="402" t="s">
        <v>163</v>
      </c>
      <c r="B62" s="403"/>
      <c r="C62" s="403"/>
      <c r="D62" s="284"/>
      <c r="E62" s="284"/>
      <c r="F62" s="284"/>
      <c r="G62" s="285"/>
    </row>
    <row r="63" spans="1:7" s="30" customFormat="1" x14ac:dyDescent="0.25">
      <c r="A63" s="278" t="s">
        <v>199</v>
      </c>
      <c r="B63" s="430" t="s">
        <v>36</v>
      </c>
      <c r="C63" s="430"/>
      <c r="D63" s="74" t="s">
        <v>10</v>
      </c>
      <c r="E63" s="74" t="s">
        <v>10</v>
      </c>
      <c r="F63" s="74" t="s">
        <v>10</v>
      </c>
      <c r="G63" s="188" t="s">
        <v>10</v>
      </c>
    </row>
    <row r="64" spans="1:7" s="30" customFormat="1" x14ac:dyDescent="0.25">
      <c r="A64" s="50" t="s">
        <v>0</v>
      </c>
      <c r="B64" s="51" t="s">
        <v>192</v>
      </c>
      <c r="C64" s="59">
        <v>9.2999999999999992E-3</v>
      </c>
      <c r="D64" s="71">
        <f t="shared" ref="D64:D69" si="5">(D$25+D$53+D$61+D$84)*C64</f>
        <v>67.569999999999993</v>
      </c>
      <c r="E64" s="71">
        <f t="shared" ref="E64:E69" si="6">(E$25+E$53+E$61+E$84)*C64</f>
        <v>67.569999999999993</v>
      </c>
      <c r="F64" s="71">
        <f t="shared" ref="F64:F69" si="7">(F$25+F$53+F$61+F$84)*C64</f>
        <v>74.099999999999994</v>
      </c>
      <c r="G64" s="202">
        <f t="shared" ref="G64:G69" si="8">(G$25+G$53+G$61+G$84)*C64</f>
        <v>74.099999999999994</v>
      </c>
    </row>
    <row r="65" spans="1:7" s="30" customFormat="1" x14ac:dyDescent="0.25">
      <c r="A65" s="50" t="s">
        <v>2</v>
      </c>
      <c r="B65" s="51" t="s">
        <v>193</v>
      </c>
      <c r="C65" s="59">
        <v>1.66E-2</v>
      </c>
      <c r="D65" s="71">
        <f t="shared" si="5"/>
        <v>120.6</v>
      </c>
      <c r="E65" s="71">
        <f t="shared" si="6"/>
        <v>120.6</v>
      </c>
      <c r="F65" s="71">
        <f t="shared" si="7"/>
        <v>132.26</v>
      </c>
      <c r="G65" s="202">
        <f t="shared" si="8"/>
        <v>132.26</v>
      </c>
    </row>
    <row r="66" spans="1:7" s="30" customFormat="1" x14ac:dyDescent="0.25">
      <c r="A66" s="50" t="s">
        <v>3</v>
      </c>
      <c r="B66" s="51" t="s">
        <v>194</v>
      </c>
      <c r="C66" s="59">
        <v>2.0000000000000001E-4</v>
      </c>
      <c r="D66" s="71">
        <f t="shared" si="5"/>
        <v>1.45</v>
      </c>
      <c r="E66" s="71">
        <f t="shared" si="6"/>
        <v>1.45</v>
      </c>
      <c r="F66" s="71">
        <f t="shared" si="7"/>
        <v>1.59</v>
      </c>
      <c r="G66" s="202">
        <f t="shared" si="8"/>
        <v>1.59</v>
      </c>
    </row>
    <row r="67" spans="1:7" s="30" customFormat="1" x14ac:dyDescent="0.25">
      <c r="A67" s="50" t="s">
        <v>5</v>
      </c>
      <c r="B67" s="51" t="s">
        <v>195</v>
      </c>
      <c r="C67" s="59">
        <v>2.7000000000000001E-3</v>
      </c>
      <c r="D67" s="71">
        <f t="shared" si="5"/>
        <v>19.62</v>
      </c>
      <c r="E67" s="71">
        <f t="shared" si="6"/>
        <v>19.62</v>
      </c>
      <c r="F67" s="71">
        <f t="shared" si="7"/>
        <v>21.51</v>
      </c>
      <c r="G67" s="202">
        <f t="shared" si="8"/>
        <v>21.51</v>
      </c>
    </row>
    <row r="68" spans="1:7" s="30" customFormat="1" x14ac:dyDescent="0.25">
      <c r="A68" s="50" t="s">
        <v>20</v>
      </c>
      <c r="B68" s="51" t="s">
        <v>196</v>
      </c>
      <c r="C68" s="59">
        <v>2.9999999999999997E-4</v>
      </c>
      <c r="D68" s="71">
        <f t="shared" si="5"/>
        <v>2.1800000000000002</v>
      </c>
      <c r="E68" s="71">
        <f t="shared" si="6"/>
        <v>2.1800000000000002</v>
      </c>
      <c r="F68" s="71">
        <f t="shared" si="7"/>
        <v>2.39</v>
      </c>
      <c r="G68" s="202">
        <f t="shared" si="8"/>
        <v>2.39</v>
      </c>
    </row>
    <row r="69" spans="1:7" s="30" customFormat="1" ht="15.75" customHeight="1" x14ac:dyDescent="0.25">
      <c r="A69" s="50" t="s">
        <v>21</v>
      </c>
      <c r="B69" s="279" t="s">
        <v>197</v>
      </c>
      <c r="C69" s="59">
        <v>0</v>
      </c>
      <c r="D69" s="71">
        <f t="shared" si="5"/>
        <v>0</v>
      </c>
      <c r="E69" s="71">
        <f t="shared" si="6"/>
        <v>0</v>
      </c>
      <c r="F69" s="71">
        <f t="shared" si="7"/>
        <v>0</v>
      </c>
      <c r="G69" s="202">
        <f t="shared" si="8"/>
        <v>0</v>
      </c>
    </row>
    <row r="70" spans="1:7" s="30" customFormat="1" x14ac:dyDescent="0.25">
      <c r="A70" s="418" t="s">
        <v>29</v>
      </c>
      <c r="B70" s="419"/>
      <c r="C70" s="60">
        <f>SUM(C64:C69)</f>
        <v>2.9100000000000001E-2</v>
      </c>
      <c r="D70" s="89">
        <f>SUM(D64:D69)</f>
        <v>211.42</v>
      </c>
      <c r="E70" s="89">
        <f>SUM(E64:E69)</f>
        <v>211.42</v>
      </c>
      <c r="F70" s="89">
        <f>SUM(F64:F69)</f>
        <v>231.85</v>
      </c>
      <c r="G70" s="205">
        <f>SUM(G64:G69)</f>
        <v>231.85</v>
      </c>
    </row>
    <row r="71" spans="1:7" s="30" customFormat="1" x14ac:dyDescent="0.25">
      <c r="A71" s="282"/>
      <c r="B71" s="283"/>
      <c r="C71" s="78"/>
      <c r="D71" s="78"/>
      <c r="E71" s="58"/>
      <c r="F71" s="78"/>
      <c r="G71" s="208"/>
    </row>
    <row r="72" spans="1:7" s="30" customFormat="1" x14ac:dyDescent="0.25">
      <c r="A72" s="282"/>
      <c r="B72" s="420" t="s">
        <v>201</v>
      </c>
      <c r="C72" s="429"/>
      <c r="D72" s="74" t="s">
        <v>10</v>
      </c>
      <c r="E72" s="74" t="s">
        <v>10</v>
      </c>
      <c r="F72" s="74" t="s">
        <v>10</v>
      </c>
      <c r="G72" s="188" t="s">
        <v>10</v>
      </c>
    </row>
    <row r="73" spans="1:7" s="30" customFormat="1" x14ac:dyDescent="0.25">
      <c r="A73" s="48" t="s">
        <v>0</v>
      </c>
      <c r="B73" s="275" t="s">
        <v>202</v>
      </c>
      <c r="C73" s="100">
        <v>0</v>
      </c>
      <c r="D73" s="69">
        <f>$C$24*C73</f>
        <v>0</v>
      </c>
      <c r="E73" s="69">
        <f>$C$24*C73</f>
        <v>0</v>
      </c>
      <c r="F73" s="69">
        <f>$C$24*C73</f>
        <v>0</v>
      </c>
      <c r="G73" s="209">
        <f>$C$24*C73</f>
        <v>0</v>
      </c>
    </row>
    <row r="74" spans="1:7" s="30" customFormat="1" ht="15.75" customHeight="1" x14ac:dyDescent="0.25">
      <c r="A74" s="418" t="s">
        <v>27</v>
      </c>
      <c r="B74" s="419"/>
      <c r="C74" s="101">
        <v>0</v>
      </c>
      <c r="D74" s="86">
        <f>D73</f>
        <v>0</v>
      </c>
      <c r="E74" s="86">
        <f>E73</f>
        <v>0</v>
      </c>
      <c r="F74" s="86">
        <f>F73</f>
        <v>0</v>
      </c>
      <c r="G74" s="67">
        <f>G73</f>
        <v>0</v>
      </c>
    </row>
    <row r="75" spans="1:7" s="30" customFormat="1" ht="15.75" customHeight="1" x14ac:dyDescent="0.25">
      <c r="A75" s="402" t="s">
        <v>30</v>
      </c>
      <c r="B75" s="403"/>
      <c r="C75" s="403"/>
      <c r="D75" s="284"/>
      <c r="E75" s="284"/>
      <c r="F75" s="284"/>
      <c r="G75" s="285"/>
    </row>
    <row r="76" spans="1:7" s="30" customFormat="1" ht="15.75" customHeight="1" x14ac:dyDescent="0.25">
      <c r="A76" s="431" t="s">
        <v>203</v>
      </c>
      <c r="B76" s="432"/>
      <c r="C76" s="432"/>
      <c r="D76" s="291"/>
      <c r="E76" s="291"/>
      <c r="F76" s="291"/>
      <c r="G76" s="292"/>
    </row>
    <row r="77" spans="1:7" s="30" customFormat="1" ht="15.75" customHeight="1" x14ac:dyDescent="0.25">
      <c r="A77" s="278">
        <v>4</v>
      </c>
      <c r="B77" s="396" t="s">
        <v>220</v>
      </c>
      <c r="C77" s="397"/>
      <c r="D77" s="74" t="s">
        <v>10</v>
      </c>
      <c r="E77" s="74" t="s">
        <v>10</v>
      </c>
      <c r="F77" s="74" t="s">
        <v>10</v>
      </c>
      <c r="G77" s="188" t="s">
        <v>10</v>
      </c>
    </row>
    <row r="78" spans="1:7" s="30" customFormat="1" ht="15.75" customHeight="1" x14ac:dyDescent="0.25">
      <c r="A78" s="50" t="s">
        <v>199</v>
      </c>
      <c r="B78" s="51" t="s">
        <v>198</v>
      </c>
      <c r="C78" s="59">
        <f>C70</f>
        <v>2.9100000000000001E-2</v>
      </c>
      <c r="D78" s="71">
        <f>D70</f>
        <v>211.42</v>
      </c>
      <c r="E78" s="71">
        <f>E70</f>
        <v>211.42</v>
      </c>
      <c r="F78" s="71">
        <f>F70</f>
        <v>231.85</v>
      </c>
      <c r="G78" s="202">
        <f>G70</f>
        <v>231.85</v>
      </c>
    </row>
    <row r="79" spans="1:7" s="30" customFormat="1" ht="15.75" customHeight="1" x14ac:dyDescent="0.25">
      <c r="A79" s="50" t="s">
        <v>221</v>
      </c>
      <c r="B79" s="51" t="s">
        <v>201</v>
      </c>
      <c r="C79" s="59">
        <v>0</v>
      </c>
      <c r="D79" s="71">
        <f>(D$25+D$53+D$61)*C79</f>
        <v>0</v>
      </c>
      <c r="E79" s="71">
        <f>(E$25+E$53+E$61)*C79</f>
        <v>0</v>
      </c>
      <c r="F79" s="71">
        <f>(F$25+F$53+F$61)*C79</f>
        <v>0</v>
      </c>
      <c r="G79" s="202">
        <f>(G$25+G$53+G$61)*C79</f>
        <v>0</v>
      </c>
    </row>
    <row r="80" spans="1:7" s="30" customFormat="1" ht="15.75" customHeight="1" x14ac:dyDescent="0.25">
      <c r="A80" s="418" t="s">
        <v>27</v>
      </c>
      <c r="B80" s="419"/>
      <c r="C80" s="99">
        <f>SUM(C78:C79)</f>
        <v>2.9100000000000001E-2</v>
      </c>
      <c r="D80" s="85">
        <f>SUM(D78:D79)</f>
        <v>211.42</v>
      </c>
      <c r="E80" s="85">
        <f>SUM(E78:E79)</f>
        <v>211.42</v>
      </c>
      <c r="F80" s="85">
        <f>SUM(F78:F79)</f>
        <v>231.85</v>
      </c>
      <c r="G80" s="203">
        <f>SUM(G78:G79)</f>
        <v>231.85</v>
      </c>
    </row>
    <row r="81" spans="1:7" s="30" customFormat="1" ht="15.75" customHeight="1" x14ac:dyDescent="0.25">
      <c r="A81" s="400" t="s">
        <v>155</v>
      </c>
      <c r="B81" s="401"/>
      <c r="C81" s="401"/>
      <c r="D81" s="93">
        <f>SUM(D74+D80)</f>
        <v>211.42</v>
      </c>
      <c r="E81" s="93">
        <f>SUM(E74+E80)</f>
        <v>211.42</v>
      </c>
      <c r="F81" s="93">
        <f>SUM(F74+F80)</f>
        <v>231.85</v>
      </c>
      <c r="G81" s="201">
        <f>SUM(G74+G80)</f>
        <v>231.85</v>
      </c>
    </row>
    <row r="82" spans="1:7" s="30" customFormat="1" ht="15.75" customHeight="1" x14ac:dyDescent="0.25">
      <c r="A82" s="398" t="s">
        <v>164</v>
      </c>
      <c r="B82" s="399"/>
      <c r="C82" s="399"/>
      <c r="D82" s="289"/>
      <c r="E82" s="289"/>
      <c r="F82" s="289"/>
      <c r="G82" s="290"/>
    </row>
    <row r="83" spans="1:7" s="30" customFormat="1" ht="15.75" customHeight="1" x14ac:dyDescent="0.25">
      <c r="A83" s="278">
        <v>5</v>
      </c>
      <c r="B83" s="396" t="s">
        <v>24</v>
      </c>
      <c r="C83" s="397"/>
      <c r="D83" s="74" t="s">
        <v>10</v>
      </c>
      <c r="E83" s="74" t="s">
        <v>10</v>
      </c>
      <c r="F83" s="74" t="s">
        <v>10</v>
      </c>
      <c r="G83" s="188" t="s">
        <v>10</v>
      </c>
    </row>
    <row r="84" spans="1:7" s="30" customFormat="1" ht="15.75" customHeight="1" x14ac:dyDescent="0.25">
      <c r="A84" s="50" t="s">
        <v>0</v>
      </c>
      <c r="B84" s="395" t="s">
        <v>222</v>
      </c>
      <c r="C84" s="395"/>
      <c r="D84" s="84">
        <f>Uniformes!H7</f>
        <v>36.619999999999997</v>
      </c>
      <c r="E84" s="84">
        <f>Uniformes!H7</f>
        <v>36.619999999999997</v>
      </c>
      <c r="F84" s="84">
        <f>Uniformes!H7</f>
        <v>36.619999999999997</v>
      </c>
      <c r="G84" s="66">
        <f>Uniformes!H7</f>
        <v>36.619999999999997</v>
      </c>
    </row>
    <row r="85" spans="1:7" s="30" customFormat="1" ht="15.75" customHeight="1" x14ac:dyDescent="0.25">
      <c r="A85" s="50" t="s">
        <v>2</v>
      </c>
      <c r="B85" s="395" t="s">
        <v>223</v>
      </c>
      <c r="C85" s="395"/>
      <c r="D85" s="84">
        <f>Materiais!H18</f>
        <v>64.819999999999993</v>
      </c>
      <c r="E85" s="84">
        <f>Materiais!H19</f>
        <v>64.819999999999993</v>
      </c>
      <c r="F85" s="84">
        <f>Materiais!H20</f>
        <v>44.57</v>
      </c>
      <c r="G85" s="66">
        <f>Materiais!H21</f>
        <v>44.57</v>
      </c>
    </row>
    <row r="86" spans="1:7" s="30" customFormat="1" ht="15.75" customHeight="1" x14ac:dyDescent="0.25">
      <c r="A86" s="50" t="s">
        <v>3</v>
      </c>
      <c r="B86" s="395" t="s">
        <v>187</v>
      </c>
      <c r="C86" s="395"/>
      <c r="D86" s="81">
        <f>Equipamentos!H18</f>
        <v>1312.5</v>
      </c>
      <c r="E86" s="81">
        <f>Equipamentos!H19</f>
        <v>1312.5</v>
      </c>
      <c r="F86" s="81">
        <f>Equipamentos!H20</f>
        <v>922.4</v>
      </c>
      <c r="G86" s="63">
        <f>Equipamentos!H21</f>
        <v>922.4</v>
      </c>
    </row>
    <row r="87" spans="1:7" s="30" customFormat="1" ht="15.75" customHeight="1" x14ac:dyDescent="0.25">
      <c r="A87" s="50" t="s">
        <v>5</v>
      </c>
      <c r="B87" s="395" t="s">
        <v>137</v>
      </c>
      <c r="C87" s="395"/>
      <c r="D87" s="84">
        <v>0</v>
      </c>
      <c r="E87" s="84">
        <v>0</v>
      </c>
      <c r="F87" s="84">
        <v>0</v>
      </c>
      <c r="G87" s="66">
        <v>0</v>
      </c>
    </row>
    <row r="88" spans="1:7" s="30" customFormat="1" ht="15.75" customHeight="1" x14ac:dyDescent="0.25">
      <c r="A88" s="400" t="s">
        <v>156</v>
      </c>
      <c r="B88" s="401"/>
      <c r="C88" s="401"/>
      <c r="D88" s="70">
        <f>SUM(D84:D87)</f>
        <v>1413.94</v>
      </c>
      <c r="E88" s="70">
        <f>SUM(E84:E87)</f>
        <v>1413.94</v>
      </c>
      <c r="F88" s="70">
        <f>SUM(F84:F87)</f>
        <v>1003.59</v>
      </c>
      <c r="G88" s="65">
        <f>SUM(G84:G87)</f>
        <v>1003.59</v>
      </c>
    </row>
    <row r="89" spans="1:7" s="30" customFormat="1" ht="30" customHeight="1" x14ac:dyDescent="0.25">
      <c r="A89" s="398" t="s">
        <v>37</v>
      </c>
      <c r="B89" s="399"/>
      <c r="C89" s="399"/>
      <c r="D89" s="75">
        <f>D88+D81+D61+D53+D25</f>
        <v>8854.02</v>
      </c>
      <c r="E89" s="75">
        <f>E88+E81+E61+E53+E25</f>
        <v>8854.02</v>
      </c>
      <c r="F89" s="75">
        <f>F88+F81+F61+F53+F25</f>
        <v>9166.39</v>
      </c>
      <c r="G89" s="186">
        <f>G88+G81+G61+G53+G25</f>
        <v>9166.39</v>
      </c>
    </row>
    <row r="90" spans="1:7" s="30" customFormat="1" ht="19.5" customHeight="1" x14ac:dyDescent="0.25">
      <c r="A90" s="402" t="s">
        <v>165</v>
      </c>
      <c r="B90" s="403"/>
      <c r="C90" s="403"/>
      <c r="D90" s="284"/>
      <c r="E90" s="284"/>
      <c r="F90" s="284"/>
      <c r="G90" s="285"/>
    </row>
    <row r="91" spans="1:7" s="30" customFormat="1" x14ac:dyDescent="0.25">
      <c r="A91" s="278">
        <v>6</v>
      </c>
      <c r="B91" s="396" t="s">
        <v>38</v>
      </c>
      <c r="C91" s="412"/>
      <c r="D91" s="74" t="s">
        <v>10</v>
      </c>
      <c r="E91" s="74" t="s">
        <v>10</v>
      </c>
      <c r="F91" s="74" t="s">
        <v>10</v>
      </c>
      <c r="G91" s="188" t="s">
        <v>10</v>
      </c>
    </row>
    <row r="92" spans="1:7" s="30" customFormat="1" x14ac:dyDescent="0.25">
      <c r="A92" s="278" t="s">
        <v>0</v>
      </c>
      <c r="B92" s="51" t="s">
        <v>39</v>
      </c>
      <c r="C92" s="59">
        <v>0.03</v>
      </c>
      <c r="D92" s="71">
        <f>+D89*C92</f>
        <v>265.62</v>
      </c>
      <c r="E92" s="71">
        <f>+E89*C92</f>
        <v>265.62</v>
      </c>
      <c r="F92" s="71">
        <f>+F89*C92</f>
        <v>274.99</v>
      </c>
      <c r="G92" s="202">
        <f>+G89*C92</f>
        <v>274.99</v>
      </c>
    </row>
    <row r="93" spans="1:7" s="30" customFormat="1" x14ac:dyDescent="0.25">
      <c r="A93" s="278" t="s">
        <v>2</v>
      </c>
      <c r="B93" s="51" t="s">
        <v>40</v>
      </c>
      <c r="C93" s="59">
        <v>6.7900000000000002E-2</v>
      </c>
      <c r="D93" s="84">
        <f>(D89+D92)*C93</f>
        <v>619.22</v>
      </c>
      <c r="E93" s="84">
        <f>(E89+E92)*C93</f>
        <v>619.22</v>
      </c>
      <c r="F93" s="84">
        <f>(F89+F92)*C93</f>
        <v>641.07000000000005</v>
      </c>
      <c r="G93" s="66">
        <f>(G89+G92)*C93</f>
        <v>641.07000000000005</v>
      </c>
    </row>
    <row r="94" spans="1:7" s="30" customFormat="1" ht="31.5" x14ac:dyDescent="0.25">
      <c r="A94" s="422" t="s">
        <v>3</v>
      </c>
      <c r="B94" s="51" t="s">
        <v>50</v>
      </c>
      <c r="C94" s="59">
        <f>1-C102</f>
        <v>0.85750000000000004</v>
      </c>
      <c r="D94" s="71">
        <f>D89+D92+D93</f>
        <v>9738.86</v>
      </c>
      <c r="E94" s="71">
        <f>E89+E92+E93</f>
        <v>9738.86</v>
      </c>
      <c r="F94" s="71">
        <f>F89+F92+F93</f>
        <v>10082.450000000001</v>
      </c>
      <c r="G94" s="202">
        <f>G89+G92+G93</f>
        <v>10082.450000000001</v>
      </c>
    </row>
    <row r="95" spans="1:7" s="30" customFormat="1" x14ac:dyDescent="0.25">
      <c r="A95" s="422"/>
      <c r="B95" s="279" t="s">
        <v>41</v>
      </c>
      <c r="C95" s="95"/>
      <c r="D95" s="84">
        <f>D94/C94</f>
        <v>11357.27</v>
      </c>
      <c r="E95" s="84">
        <f>E94/C94</f>
        <v>11357.27</v>
      </c>
      <c r="F95" s="84">
        <f>F94/C94</f>
        <v>11757.96</v>
      </c>
      <c r="G95" s="66">
        <f>G94/C94</f>
        <v>11757.96</v>
      </c>
    </row>
    <row r="96" spans="1:7" s="30" customFormat="1" x14ac:dyDescent="0.25">
      <c r="A96" s="422"/>
      <c r="B96" s="279" t="s">
        <v>42</v>
      </c>
      <c r="C96" s="72"/>
      <c r="D96" s="94"/>
      <c r="E96" s="94"/>
      <c r="F96" s="94"/>
      <c r="G96" s="210"/>
    </row>
    <row r="97" spans="1:7" s="30" customFormat="1" x14ac:dyDescent="0.25">
      <c r="A97" s="422"/>
      <c r="B97" s="51" t="s">
        <v>130</v>
      </c>
      <c r="C97" s="59">
        <v>1.6500000000000001E-2</v>
      </c>
      <c r="D97" s="71">
        <f>D95*C97</f>
        <v>187.39</v>
      </c>
      <c r="E97" s="71">
        <f>E95*C97</f>
        <v>187.39</v>
      </c>
      <c r="F97" s="71">
        <f>F95*C97</f>
        <v>194.01</v>
      </c>
      <c r="G97" s="202">
        <f>G95*C97</f>
        <v>194.01</v>
      </c>
    </row>
    <row r="98" spans="1:7" s="30" customFormat="1" x14ac:dyDescent="0.25">
      <c r="A98" s="422"/>
      <c r="B98" s="51" t="s">
        <v>131</v>
      </c>
      <c r="C98" s="59">
        <v>7.5999999999999998E-2</v>
      </c>
      <c r="D98" s="71">
        <f>D95*C98</f>
        <v>863.15</v>
      </c>
      <c r="E98" s="71">
        <f>E95*C98</f>
        <v>863.15</v>
      </c>
      <c r="F98" s="71">
        <f>F95*C98</f>
        <v>893.6</v>
      </c>
      <c r="G98" s="202">
        <f>G95*C98</f>
        <v>893.6</v>
      </c>
    </row>
    <row r="99" spans="1:7" s="30" customFormat="1" x14ac:dyDescent="0.25">
      <c r="A99" s="422"/>
      <c r="B99" s="53" t="s">
        <v>43</v>
      </c>
      <c r="C99" s="95"/>
      <c r="D99" s="84"/>
      <c r="E99" s="84"/>
      <c r="F99" s="84"/>
      <c r="G99" s="66"/>
    </row>
    <row r="100" spans="1:7" s="30" customFormat="1" x14ac:dyDescent="0.25">
      <c r="A100" s="422"/>
      <c r="B100" s="53" t="s">
        <v>44</v>
      </c>
      <c r="C100" s="102"/>
      <c r="D100" s="96"/>
      <c r="E100" s="96"/>
      <c r="F100" s="96"/>
      <c r="G100" s="211"/>
    </row>
    <row r="101" spans="1:7" s="30" customFormat="1" x14ac:dyDescent="0.25">
      <c r="A101" s="422"/>
      <c r="B101" s="51" t="s">
        <v>142</v>
      </c>
      <c r="C101" s="59">
        <v>0.05</v>
      </c>
      <c r="D101" s="71">
        <f>D95*C101</f>
        <v>567.86</v>
      </c>
      <c r="E101" s="71">
        <f>E95*C101</f>
        <v>567.86</v>
      </c>
      <c r="F101" s="71">
        <f>F95*C101</f>
        <v>587.9</v>
      </c>
      <c r="G101" s="202">
        <f>G95*C101</f>
        <v>587.9</v>
      </c>
    </row>
    <row r="102" spans="1:7" s="30" customFormat="1" x14ac:dyDescent="0.25">
      <c r="A102" s="278"/>
      <c r="B102" s="106" t="s">
        <v>45</v>
      </c>
      <c r="C102" s="107">
        <f>SUM(C97:C101)</f>
        <v>0.14249999999999999</v>
      </c>
      <c r="D102" s="108">
        <f>SUM(D97:D101)</f>
        <v>1618.4</v>
      </c>
      <c r="E102" s="108">
        <f>SUM(E97:E101)</f>
        <v>1618.4</v>
      </c>
      <c r="F102" s="108">
        <f>SUM(F97:F101)</f>
        <v>1675.51</v>
      </c>
      <c r="G102" s="212">
        <f>SUM(G97:G101)</f>
        <v>1675.51</v>
      </c>
    </row>
    <row r="103" spans="1:7" s="30" customFormat="1" ht="15.75" customHeight="1" x14ac:dyDescent="0.25">
      <c r="A103" s="418" t="s">
        <v>46</v>
      </c>
      <c r="B103" s="419"/>
      <c r="C103" s="419"/>
      <c r="D103" s="92">
        <f>SUM(D92:D93)+D102</f>
        <v>2503.2399999999998</v>
      </c>
      <c r="E103" s="92">
        <f>SUM(E92:E93)+E102</f>
        <v>2503.2399999999998</v>
      </c>
      <c r="F103" s="92">
        <f>SUM(F92:F93)+F102</f>
        <v>2591.5700000000002</v>
      </c>
      <c r="G103" s="207">
        <f>SUM(G92:G93)+G102</f>
        <v>2591.5700000000002</v>
      </c>
    </row>
    <row r="104" spans="1:7" s="30" customFormat="1" ht="15.75" customHeight="1" x14ac:dyDescent="0.25">
      <c r="A104" s="423" t="s">
        <v>47</v>
      </c>
      <c r="B104" s="424"/>
      <c r="C104" s="424"/>
      <c r="D104" s="76" t="s">
        <v>10</v>
      </c>
      <c r="E104" s="76" t="s">
        <v>10</v>
      </c>
      <c r="F104" s="76" t="s">
        <v>10</v>
      </c>
      <c r="G104" s="213" t="s">
        <v>10</v>
      </c>
    </row>
    <row r="105" spans="1:7" s="30" customFormat="1" x14ac:dyDescent="0.25">
      <c r="A105" s="50" t="s">
        <v>0</v>
      </c>
      <c r="B105" s="425" t="s">
        <v>48</v>
      </c>
      <c r="C105" s="425"/>
      <c r="D105" s="94">
        <f>D25</f>
        <v>3813.12</v>
      </c>
      <c r="E105" s="94">
        <f>E25</f>
        <v>3813.12</v>
      </c>
      <c r="F105" s="94">
        <f>F25</f>
        <v>4337.5600000000004</v>
      </c>
      <c r="G105" s="210">
        <f>G25</f>
        <v>4337.5600000000004</v>
      </c>
    </row>
    <row r="106" spans="1:7" s="30" customFormat="1" x14ac:dyDescent="0.25">
      <c r="A106" s="50" t="s">
        <v>2</v>
      </c>
      <c r="B106" s="425" t="s">
        <v>159</v>
      </c>
      <c r="C106" s="425"/>
      <c r="D106" s="94">
        <f>D53</f>
        <v>3142.91</v>
      </c>
      <c r="E106" s="94">
        <f>E53</f>
        <v>3142.91</v>
      </c>
      <c r="F106" s="94">
        <f>F53</f>
        <v>3283.25</v>
      </c>
      <c r="G106" s="210">
        <f>G53</f>
        <v>3283.25</v>
      </c>
    </row>
    <row r="107" spans="1:7" s="30" customFormat="1" x14ac:dyDescent="0.25">
      <c r="A107" s="50" t="s">
        <v>3</v>
      </c>
      <c r="B107" s="425" t="s">
        <v>157</v>
      </c>
      <c r="C107" s="425"/>
      <c r="D107" s="94">
        <f>D61</f>
        <v>272.63</v>
      </c>
      <c r="E107" s="94">
        <f>E61</f>
        <v>272.63</v>
      </c>
      <c r="F107" s="94">
        <f>F61</f>
        <v>310.14</v>
      </c>
      <c r="G107" s="210">
        <f>G61</f>
        <v>310.14</v>
      </c>
    </row>
    <row r="108" spans="1:7" s="30" customFormat="1" x14ac:dyDescent="0.25">
      <c r="A108" s="50" t="s">
        <v>5</v>
      </c>
      <c r="B108" s="425" t="s">
        <v>150</v>
      </c>
      <c r="C108" s="425"/>
      <c r="D108" s="94">
        <f>D81</f>
        <v>211.42</v>
      </c>
      <c r="E108" s="94">
        <f>E81</f>
        <v>211.42</v>
      </c>
      <c r="F108" s="94">
        <f>F81</f>
        <v>231.85</v>
      </c>
      <c r="G108" s="210">
        <f>G81</f>
        <v>231.85</v>
      </c>
    </row>
    <row r="109" spans="1:7" s="30" customFormat="1" x14ac:dyDescent="0.25">
      <c r="A109" s="50" t="s">
        <v>20</v>
      </c>
      <c r="B109" s="425" t="s">
        <v>158</v>
      </c>
      <c r="C109" s="425"/>
      <c r="D109" s="94">
        <f>D88</f>
        <v>1413.94</v>
      </c>
      <c r="E109" s="94">
        <f>E88</f>
        <v>1413.94</v>
      </c>
      <c r="F109" s="94">
        <f>F88</f>
        <v>1003.59</v>
      </c>
      <c r="G109" s="210">
        <f>G88</f>
        <v>1003.59</v>
      </c>
    </row>
    <row r="110" spans="1:7" s="30" customFormat="1" ht="15.75" customHeight="1" x14ac:dyDescent="0.25">
      <c r="A110" s="422" t="s">
        <v>160</v>
      </c>
      <c r="B110" s="426"/>
      <c r="C110" s="426"/>
      <c r="D110" s="74">
        <f>SUM(D105:D109)</f>
        <v>8854.02</v>
      </c>
      <c r="E110" s="74">
        <f>SUM(E105:E109)</f>
        <v>8854.02</v>
      </c>
      <c r="F110" s="74">
        <f>SUM(F105:F109)</f>
        <v>9166.39</v>
      </c>
      <c r="G110" s="188">
        <f>SUM(G105:G109)</f>
        <v>9166.39</v>
      </c>
    </row>
    <row r="111" spans="1:7" s="30" customFormat="1" x14ac:dyDescent="0.25">
      <c r="A111" s="278" t="s">
        <v>20</v>
      </c>
      <c r="B111" s="425" t="s">
        <v>161</v>
      </c>
      <c r="C111" s="425"/>
      <c r="D111" s="94">
        <f>D103</f>
        <v>2503.2399999999998</v>
      </c>
      <c r="E111" s="94">
        <f>E103</f>
        <v>2503.2399999999998</v>
      </c>
      <c r="F111" s="94">
        <f>F103</f>
        <v>2591.5700000000002</v>
      </c>
      <c r="G111" s="210">
        <f>G103</f>
        <v>2591.5700000000002</v>
      </c>
    </row>
    <row r="112" spans="1:7" s="30" customFormat="1" ht="16.5" customHeight="1" thickBot="1" x14ac:dyDescent="0.3">
      <c r="A112" s="410" t="s">
        <v>49</v>
      </c>
      <c r="B112" s="411"/>
      <c r="C112" s="411"/>
      <c r="D112" s="111">
        <f>SUM(D110:D111)</f>
        <v>11357.26</v>
      </c>
      <c r="E112" s="111">
        <f>SUM(E110:E111)</f>
        <v>11357.26</v>
      </c>
      <c r="F112" s="111">
        <f>SUM(F110:F111)</f>
        <v>11757.96</v>
      </c>
      <c r="G112" s="214">
        <f>SUM(G110:G111)</f>
        <v>11757.96</v>
      </c>
    </row>
    <row r="113" spans="2:7" x14ac:dyDescent="0.25">
      <c r="C113" s="31"/>
      <c r="D113" s="31"/>
      <c r="E113" s="31"/>
      <c r="F113" s="31"/>
      <c r="G113" s="31"/>
    </row>
    <row r="114" spans="2:7" x14ac:dyDescent="0.25">
      <c r="B114" s="28"/>
      <c r="C114" s="31"/>
      <c r="D114" s="31"/>
      <c r="E114" s="31"/>
      <c r="F114" s="31"/>
      <c r="G114" s="31"/>
    </row>
    <row r="115" spans="2:7" x14ac:dyDescent="0.25">
      <c r="B115" s="28"/>
      <c r="C115" s="31"/>
      <c r="D115" s="31"/>
      <c r="E115" s="31"/>
      <c r="F115" s="31"/>
      <c r="G115" s="31"/>
    </row>
    <row r="116" spans="2:7" x14ac:dyDescent="0.25">
      <c r="B116" s="28"/>
      <c r="C116" s="421"/>
      <c r="D116" s="421"/>
      <c r="E116" s="421"/>
      <c r="F116" s="421"/>
      <c r="G116" s="421"/>
    </row>
    <row r="117" spans="2:7" x14ac:dyDescent="0.25">
      <c r="B117" s="28"/>
      <c r="C117" s="31"/>
      <c r="D117" s="31"/>
      <c r="E117" s="31"/>
      <c r="F117" s="31"/>
      <c r="G117" s="31"/>
    </row>
    <row r="119" spans="2:7" x14ac:dyDescent="0.25">
      <c r="B119" s="36"/>
    </row>
    <row r="124" spans="2:7" x14ac:dyDescent="0.25">
      <c r="B124" s="28"/>
    </row>
  </sheetData>
  <mergeCells count="69">
    <mergeCell ref="A8:G8"/>
    <mergeCell ref="A9:G9"/>
    <mergeCell ref="A10:G10"/>
    <mergeCell ref="A11:C11"/>
    <mergeCell ref="D11:G11"/>
    <mergeCell ref="A1:G1"/>
    <mergeCell ref="C4:G4"/>
    <mergeCell ref="C5:G5"/>
    <mergeCell ref="C6:G6"/>
    <mergeCell ref="C7:G7"/>
    <mergeCell ref="A80:B80"/>
    <mergeCell ref="A81:C81"/>
    <mergeCell ref="A75:C75"/>
    <mergeCell ref="A82:C82"/>
    <mergeCell ref="A76:C76"/>
    <mergeCell ref="B42:C42"/>
    <mergeCell ref="B72:C72"/>
    <mergeCell ref="A74:B74"/>
    <mergeCell ref="A70:B70"/>
    <mergeCell ref="B77:C77"/>
    <mergeCell ref="B63:C63"/>
    <mergeCell ref="A61:C61"/>
    <mergeCell ref="A48:C48"/>
    <mergeCell ref="A49:C49"/>
    <mergeCell ref="A54:C54"/>
    <mergeCell ref="A62:C62"/>
    <mergeCell ref="C116:G116"/>
    <mergeCell ref="A94:A101"/>
    <mergeCell ref="A103:C103"/>
    <mergeCell ref="A104:C104"/>
    <mergeCell ref="B107:C107"/>
    <mergeCell ref="B111:C111"/>
    <mergeCell ref="B105:C105"/>
    <mergeCell ref="B106:C106"/>
    <mergeCell ref="A110:C110"/>
    <mergeCell ref="B108:C108"/>
    <mergeCell ref="B109:C109"/>
    <mergeCell ref="A90:C90"/>
    <mergeCell ref="A16:C16"/>
    <mergeCell ref="A3:G3"/>
    <mergeCell ref="A2:G2"/>
    <mergeCell ref="A112:C112"/>
    <mergeCell ref="B91:C91"/>
    <mergeCell ref="B32:C32"/>
    <mergeCell ref="A31:G31"/>
    <mergeCell ref="A30:B30"/>
    <mergeCell ref="A25:C25"/>
    <mergeCell ref="B17:C17"/>
    <mergeCell ref="B27:C27"/>
    <mergeCell ref="A26:C26"/>
    <mergeCell ref="A41:B41"/>
    <mergeCell ref="A53:C53"/>
    <mergeCell ref="B55:C55"/>
    <mergeCell ref="B84:C84"/>
    <mergeCell ref="B85:C85"/>
    <mergeCell ref="B86:C86"/>
    <mergeCell ref="B83:C83"/>
    <mergeCell ref="A89:C89"/>
    <mergeCell ref="A88:C88"/>
    <mergeCell ref="B87:C87"/>
    <mergeCell ref="B14:C14"/>
    <mergeCell ref="B15:C15"/>
    <mergeCell ref="D13:E13"/>
    <mergeCell ref="D12:G12"/>
    <mergeCell ref="D14:G14"/>
    <mergeCell ref="D15:G15"/>
    <mergeCell ref="F13:G13"/>
    <mergeCell ref="B12:C12"/>
    <mergeCell ref="B13:C13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5"/>
  <sheetViews>
    <sheetView view="pageBreakPreview" zoomScaleNormal="115" zoomScaleSheetLayoutView="100" workbookViewId="0">
      <selection activeCell="A24" sqref="A24:H24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6" width="15.7109375" style="32" customWidth="1"/>
    <col min="7" max="7" width="15.7109375" style="37" customWidth="1"/>
    <col min="8" max="8" width="9.140625" style="28" customWidth="1"/>
    <col min="9" max="16384" width="9.140625" style="28"/>
  </cols>
  <sheetData>
    <row r="1" spans="1:7" x14ac:dyDescent="0.25">
      <c r="A1" s="433"/>
      <c r="B1" s="434"/>
      <c r="C1" s="434"/>
      <c r="D1" s="434"/>
      <c r="E1" s="434"/>
      <c r="F1" s="434"/>
      <c r="G1" s="435"/>
    </row>
    <row r="2" spans="1:7" s="38" customFormat="1" ht="16.5" customHeight="1" x14ac:dyDescent="0.25">
      <c r="A2" s="407" t="s">
        <v>132</v>
      </c>
      <c r="B2" s="408"/>
      <c r="C2" s="408"/>
      <c r="D2" s="408"/>
      <c r="E2" s="408"/>
      <c r="F2" s="408"/>
      <c r="G2" s="409"/>
    </row>
    <row r="3" spans="1:7" s="38" customFormat="1" x14ac:dyDescent="0.25">
      <c r="A3" s="404" t="s">
        <v>129</v>
      </c>
      <c r="B3" s="405"/>
      <c r="C3" s="405"/>
      <c r="D3" s="405"/>
      <c r="E3" s="405"/>
      <c r="F3" s="405"/>
      <c r="G3" s="406"/>
    </row>
    <row r="4" spans="1:7" s="38" customFormat="1" ht="15" customHeight="1" x14ac:dyDescent="0.25">
      <c r="A4" s="40" t="s">
        <v>0</v>
      </c>
      <c r="B4" s="41" t="s">
        <v>1</v>
      </c>
      <c r="C4" s="436">
        <v>2024</v>
      </c>
      <c r="D4" s="436"/>
      <c r="E4" s="436"/>
      <c r="F4" s="436"/>
      <c r="G4" s="437"/>
    </row>
    <row r="5" spans="1:7" s="38" customFormat="1" ht="60" customHeight="1" x14ac:dyDescent="0.25">
      <c r="A5" s="40" t="s">
        <v>2</v>
      </c>
      <c r="B5" s="41" t="s">
        <v>140</v>
      </c>
      <c r="C5" s="438" t="s">
        <v>258</v>
      </c>
      <c r="D5" s="438"/>
      <c r="E5" s="438"/>
      <c r="F5" s="438"/>
      <c r="G5" s="439"/>
    </row>
    <row r="6" spans="1:7" s="38" customFormat="1" ht="15.75" customHeight="1" x14ac:dyDescent="0.25">
      <c r="A6" s="40" t="s">
        <v>3</v>
      </c>
      <c r="B6" s="41" t="s">
        <v>4</v>
      </c>
      <c r="C6" s="438" t="s">
        <v>277</v>
      </c>
      <c r="D6" s="438"/>
      <c r="E6" s="438"/>
      <c r="F6" s="438"/>
      <c r="G6" s="439"/>
    </row>
    <row r="7" spans="1:7" s="38" customFormat="1" x14ac:dyDescent="0.25">
      <c r="A7" s="40" t="s">
        <v>5</v>
      </c>
      <c r="B7" s="41" t="s">
        <v>143</v>
      </c>
      <c r="C7" s="438">
        <v>12</v>
      </c>
      <c r="D7" s="438"/>
      <c r="E7" s="438"/>
      <c r="F7" s="438"/>
      <c r="G7" s="439"/>
    </row>
    <row r="8" spans="1:7" s="38" customFormat="1" x14ac:dyDescent="0.25">
      <c r="A8" s="404" t="s">
        <v>6</v>
      </c>
      <c r="B8" s="405"/>
      <c r="C8" s="405"/>
      <c r="D8" s="405"/>
      <c r="E8" s="405"/>
      <c r="F8" s="405"/>
      <c r="G8" s="406"/>
    </row>
    <row r="9" spans="1:7" s="38" customFormat="1" x14ac:dyDescent="0.25">
      <c r="A9" s="404" t="s">
        <v>7</v>
      </c>
      <c r="B9" s="405"/>
      <c r="C9" s="405"/>
      <c r="D9" s="405"/>
      <c r="E9" s="405"/>
      <c r="F9" s="405"/>
      <c r="G9" s="406"/>
    </row>
    <row r="10" spans="1:7" s="38" customFormat="1" ht="15.75" customHeight="1" x14ac:dyDescent="0.25">
      <c r="A10" s="404" t="s">
        <v>8</v>
      </c>
      <c r="B10" s="405"/>
      <c r="C10" s="405"/>
      <c r="D10" s="405"/>
      <c r="E10" s="405"/>
      <c r="F10" s="405"/>
      <c r="G10" s="406"/>
    </row>
    <row r="11" spans="1:7" s="38" customFormat="1" ht="30" customHeight="1" x14ac:dyDescent="0.25">
      <c r="A11" s="440" t="s">
        <v>9</v>
      </c>
      <c r="B11" s="441"/>
      <c r="C11" s="441"/>
      <c r="D11" s="443" t="s">
        <v>10</v>
      </c>
      <c r="E11" s="443"/>
      <c r="F11" s="443"/>
      <c r="G11" s="444"/>
    </row>
    <row r="12" spans="1:7" s="38" customFormat="1" ht="45" customHeight="1" x14ac:dyDescent="0.25">
      <c r="A12" s="40">
        <v>1</v>
      </c>
      <c r="B12" s="383" t="s">
        <v>133</v>
      </c>
      <c r="C12" s="383"/>
      <c r="D12" s="445" t="s">
        <v>259</v>
      </c>
      <c r="E12" s="445"/>
      <c r="F12" s="445"/>
      <c r="G12" s="446"/>
    </row>
    <row r="13" spans="1:7" s="38" customFormat="1" ht="30" customHeight="1" x14ac:dyDescent="0.25">
      <c r="A13" s="40">
        <v>2</v>
      </c>
      <c r="B13" s="383" t="s">
        <v>11</v>
      </c>
      <c r="C13" s="383"/>
      <c r="D13" s="447">
        <v>3248.32</v>
      </c>
      <c r="E13" s="447"/>
      <c r="F13" s="448">
        <v>3772.76</v>
      </c>
      <c r="G13" s="449"/>
    </row>
    <row r="14" spans="1:7" s="38" customFormat="1" ht="15.75" customHeight="1" x14ac:dyDescent="0.25">
      <c r="A14" s="40">
        <v>3</v>
      </c>
      <c r="B14" s="383" t="s">
        <v>12</v>
      </c>
      <c r="C14" s="383"/>
      <c r="D14" s="445" t="s">
        <v>260</v>
      </c>
      <c r="E14" s="445"/>
      <c r="F14" s="445"/>
      <c r="G14" s="446"/>
    </row>
    <row r="15" spans="1:7" s="38" customFormat="1" x14ac:dyDescent="0.25">
      <c r="A15" s="40">
        <v>4</v>
      </c>
      <c r="B15" s="384" t="s">
        <v>13</v>
      </c>
      <c r="C15" s="384"/>
      <c r="D15" s="450">
        <v>2024</v>
      </c>
      <c r="E15" s="450"/>
      <c r="F15" s="450"/>
      <c r="G15" s="451"/>
    </row>
    <row r="16" spans="1:7" s="39" customFormat="1" ht="31.5" x14ac:dyDescent="0.25">
      <c r="A16" s="402" t="s">
        <v>14</v>
      </c>
      <c r="B16" s="403"/>
      <c r="C16" s="403"/>
      <c r="D16" s="318" t="s">
        <v>299</v>
      </c>
      <c r="E16" s="319" t="s">
        <v>298</v>
      </c>
      <c r="F16" s="318" t="s">
        <v>300</v>
      </c>
      <c r="G16" s="320" t="s">
        <v>301</v>
      </c>
    </row>
    <row r="17" spans="1:7" s="39" customFormat="1" x14ac:dyDescent="0.25">
      <c r="A17" s="316">
        <v>1</v>
      </c>
      <c r="B17" s="420" t="s">
        <v>15</v>
      </c>
      <c r="C17" s="420"/>
      <c r="D17" s="61" t="s">
        <v>10</v>
      </c>
      <c r="E17" s="61" t="s">
        <v>10</v>
      </c>
      <c r="F17" s="61" t="s">
        <v>10</v>
      </c>
      <c r="G17" s="62" t="s">
        <v>10</v>
      </c>
    </row>
    <row r="18" spans="1:7" s="38" customFormat="1" ht="15.75" customHeight="1" x14ac:dyDescent="0.25">
      <c r="A18" s="45" t="s">
        <v>0</v>
      </c>
      <c r="B18" s="46" t="s">
        <v>16</v>
      </c>
      <c r="C18" s="311"/>
      <c r="D18" s="81">
        <f>D13</f>
        <v>3248.32</v>
      </c>
      <c r="E18" s="81">
        <f>D13</f>
        <v>3248.32</v>
      </c>
      <c r="F18" s="69">
        <f>F13</f>
        <v>3772.76</v>
      </c>
      <c r="G18" s="209">
        <f>F13</f>
        <v>3772.76</v>
      </c>
    </row>
    <row r="19" spans="1:7" s="38" customFormat="1" ht="15.75" customHeight="1" x14ac:dyDescent="0.25">
      <c r="A19" s="45" t="s">
        <v>2</v>
      </c>
      <c r="B19" s="46" t="s">
        <v>17</v>
      </c>
      <c r="C19" s="227"/>
      <c r="D19" s="227"/>
      <c r="E19" s="227"/>
      <c r="F19" s="227"/>
      <c r="G19" s="297"/>
    </row>
    <row r="20" spans="1:7" s="38" customFormat="1" ht="15.75" customHeight="1" x14ac:dyDescent="0.25">
      <c r="A20" s="45" t="s">
        <v>3</v>
      </c>
      <c r="B20" s="46" t="s">
        <v>18</v>
      </c>
      <c r="C20" s="116" t="s">
        <v>243</v>
      </c>
      <c r="D20" s="83">
        <f>40%*1412</f>
        <v>564.79999999999995</v>
      </c>
      <c r="E20" s="83">
        <f>40%*1412</f>
        <v>564.79999999999995</v>
      </c>
      <c r="F20" s="83">
        <f t="shared" ref="F20:G20" si="0">40%*1412</f>
        <v>564.79999999999995</v>
      </c>
      <c r="G20" s="64">
        <f t="shared" si="0"/>
        <v>564.79999999999995</v>
      </c>
    </row>
    <row r="21" spans="1:7" s="38" customFormat="1" ht="15.75" customHeight="1" x14ac:dyDescent="0.25">
      <c r="A21" s="45" t="s">
        <v>5</v>
      </c>
      <c r="B21" s="46" t="s">
        <v>19</v>
      </c>
      <c r="C21" s="82"/>
      <c r="D21" s="83">
        <f>((((D18+D20)/220)*20%)*8)*15.21</f>
        <v>421.8</v>
      </c>
      <c r="E21" s="83">
        <f>((((E18+E20)/220)*20%)*8)*15.21</f>
        <v>421.8</v>
      </c>
      <c r="F21" s="83">
        <f>((((F18+F20)/220)*20%)*8)*15.21</f>
        <v>479.81</v>
      </c>
      <c r="G21" s="64">
        <f>((((G18+G20)/220)*20%)*8)*15.21</f>
        <v>479.81</v>
      </c>
    </row>
    <row r="22" spans="1:7" s="38" customFormat="1" ht="15.75" customHeight="1" x14ac:dyDescent="0.25">
      <c r="A22" s="45" t="s">
        <v>20</v>
      </c>
      <c r="B22" s="46" t="s">
        <v>204</v>
      </c>
      <c r="C22" s="82"/>
      <c r="D22" s="83"/>
      <c r="E22" s="83"/>
      <c r="F22" s="83"/>
      <c r="G22" s="64"/>
    </row>
    <row r="23" spans="1:7" s="38" customFormat="1" x14ac:dyDescent="0.25">
      <c r="A23" s="45" t="s">
        <v>21</v>
      </c>
      <c r="B23" s="46" t="s">
        <v>138</v>
      </c>
      <c r="C23" s="49"/>
      <c r="D23" s="83"/>
      <c r="E23" s="83"/>
      <c r="F23" s="83"/>
      <c r="G23" s="64"/>
    </row>
    <row r="24" spans="1:7" s="38" customFormat="1" ht="15.75" customHeight="1" x14ac:dyDescent="0.25">
      <c r="A24" s="45" t="s">
        <v>22</v>
      </c>
      <c r="B24" s="47" t="s">
        <v>139</v>
      </c>
      <c r="C24" s="49"/>
      <c r="D24" s="83"/>
      <c r="E24" s="83"/>
      <c r="F24" s="83"/>
      <c r="G24" s="64"/>
    </row>
    <row r="25" spans="1:7" s="39" customFormat="1" ht="15.75" customHeight="1" x14ac:dyDescent="0.25">
      <c r="A25" s="400" t="s">
        <v>152</v>
      </c>
      <c r="B25" s="401"/>
      <c r="C25" s="401"/>
      <c r="D25" s="70">
        <f>SUM(D18:D24)</f>
        <v>4234.92</v>
      </c>
      <c r="E25" s="70">
        <f>SUM(E18:E24)</f>
        <v>4234.92</v>
      </c>
      <c r="F25" s="70">
        <f>SUM(F18:F24)</f>
        <v>4817.37</v>
      </c>
      <c r="G25" s="65">
        <f>SUM(G18:G24)</f>
        <v>4817.37</v>
      </c>
    </row>
    <row r="26" spans="1:7" s="39" customFormat="1" x14ac:dyDescent="0.25">
      <c r="A26" s="452" t="s">
        <v>51</v>
      </c>
      <c r="B26" s="453"/>
      <c r="C26" s="453"/>
      <c r="D26" s="294"/>
      <c r="E26" s="294"/>
      <c r="F26" s="294"/>
      <c r="G26" s="295"/>
    </row>
    <row r="27" spans="1:7" s="38" customFormat="1" x14ac:dyDescent="0.25">
      <c r="A27" s="314" t="s">
        <v>141</v>
      </c>
      <c r="B27" s="396" t="s">
        <v>205</v>
      </c>
      <c r="C27" s="412"/>
      <c r="D27" s="74" t="s">
        <v>10</v>
      </c>
      <c r="E27" s="74" t="s">
        <v>10</v>
      </c>
      <c r="F27" s="74" t="s">
        <v>10</v>
      </c>
      <c r="G27" s="188" t="s">
        <v>10</v>
      </c>
    </row>
    <row r="28" spans="1:7" s="38" customFormat="1" x14ac:dyDescent="0.25">
      <c r="A28" s="50" t="s">
        <v>0</v>
      </c>
      <c r="B28" s="51" t="s">
        <v>28</v>
      </c>
      <c r="C28" s="59">
        <f>1/12</f>
        <v>8.3299999999999999E-2</v>
      </c>
      <c r="D28" s="84">
        <f>(D25)*C28</f>
        <v>352.77</v>
      </c>
      <c r="E28" s="84">
        <f>(E25)*C28</f>
        <v>352.77</v>
      </c>
      <c r="F28" s="84">
        <f>(F25)*C28</f>
        <v>401.29</v>
      </c>
      <c r="G28" s="66">
        <f>(G25)*C28</f>
        <v>401.29</v>
      </c>
    </row>
    <row r="29" spans="1:7" s="38" customFormat="1" x14ac:dyDescent="0.25">
      <c r="A29" s="50" t="s">
        <v>2</v>
      </c>
      <c r="B29" s="51" t="s">
        <v>148</v>
      </c>
      <c r="C29" s="59">
        <v>0.1111</v>
      </c>
      <c r="D29" s="84">
        <f>(D25)*C29</f>
        <v>470.5</v>
      </c>
      <c r="E29" s="84">
        <f>(E25)*C29</f>
        <v>470.5</v>
      </c>
      <c r="F29" s="84">
        <f>(F25)*C29</f>
        <v>535.21</v>
      </c>
      <c r="G29" s="66">
        <f>(G25)*C29</f>
        <v>535.21</v>
      </c>
    </row>
    <row r="30" spans="1:7" x14ac:dyDescent="0.25">
      <c r="A30" s="418" t="s">
        <v>27</v>
      </c>
      <c r="B30" s="419"/>
      <c r="C30" s="99">
        <f>SUM(C28:C29)</f>
        <v>0.19439999999999999</v>
      </c>
      <c r="D30" s="86">
        <f>SUM(D28:D29)</f>
        <v>823.27</v>
      </c>
      <c r="E30" s="86">
        <f>SUM(E28:E29)</f>
        <v>823.27</v>
      </c>
      <c r="F30" s="86">
        <f>SUM(F28:F29)</f>
        <v>936.5</v>
      </c>
      <c r="G30" s="67">
        <f>SUM(G28:G29)</f>
        <v>936.5</v>
      </c>
    </row>
    <row r="31" spans="1:7" ht="32.25" customHeight="1" x14ac:dyDescent="0.25">
      <c r="A31" s="286" t="s">
        <v>190</v>
      </c>
      <c r="B31" s="287"/>
      <c r="C31" s="287"/>
      <c r="D31" s="287"/>
      <c r="E31" s="287"/>
      <c r="F31" s="287"/>
      <c r="G31" s="288"/>
    </row>
    <row r="32" spans="1:7" x14ac:dyDescent="0.25">
      <c r="A32" s="313" t="s">
        <v>141</v>
      </c>
      <c r="B32" s="413" t="s">
        <v>25</v>
      </c>
      <c r="C32" s="414"/>
      <c r="D32" s="75" t="s">
        <v>10</v>
      </c>
      <c r="E32" s="75" t="s">
        <v>10</v>
      </c>
      <c r="F32" s="75" t="s">
        <v>10</v>
      </c>
      <c r="G32" s="186" t="s">
        <v>10</v>
      </c>
    </row>
    <row r="33" spans="1:7" x14ac:dyDescent="0.25">
      <c r="A33" s="50" t="s">
        <v>0</v>
      </c>
      <c r="B33" s="87" t="s">
        <v>207</v>
      </c>
      <c r="C33" s="59">
        <v>0.2</v>
      </c>
      <c r="D33" s="84">
        <f t="shared" ref="D33:D40" si="1">($E$25+D$30)*C33</f>
        <v>1011.64</v>
      </c>
      <c r="E33" s="84">
        <f t="shared" ref="E33:E40" si="2">($E$25+E$30)*C33</f>
        <v>1011.64</v>
      </c>
      <c r="F33" s="84">
        <f t="shared" ref="F33:F40" si="3">($E$25+F$30)*C33</f>
        <v>1034.28</v>
      </c>
      <c r="G33" s="66">
        <f t="shared" ref="G33:G40" si="4">($E$25+G$30)*C33</f>
        <v>1034.28</v>
      </c>
    </row>
    <row r="34" spans="1:7" x14ac:dyDescent="0.25">
      <c r="A34" s="50" t="s">
        <v>2</v>
      </c>
      <c r="B34" s="87" t="s">
        <v>208</v>
      </c>
      <c r="C34" s="88">
        <v>1.4999999999999999E-2</v>
      </c>
      <c r="D34" s="84">
        <f t="shared" si="1"/>
        <v>75.87</v>
      </c>
      <c r="E34" s="84">
        <f t="shared" si="2"/>
        <v>75.87</v>
      </c>
      <c r="F34" s="84">
        <f t="shared" si="3"/>
        <v>77.569999999999993</v>
      </c>
      <c r="G34" s="66">
        <f t="shared" si="4"/>
        <v>77.569999999999993</v>
      </c>
    </row>
    <row r="35" spans="1:7" x14ac:dyDescent="0.25">
      <c r="A35" s="50" t="s">
        <v>3</v>
      </c>
      <c r="B35" s="87" t="s">
        <v>209</v>
      </c>
      <c r="C35" s="88">
        <v>0.01</v>
      </c>
      <c r="D35" s="84">
        <f t="shared" si="1"/>
        <v>50.58</v>
      </c>
      <c r="E35" s="84">
        <f t="shared" si="2"/>
        <v>50.58</v>
      </c>
      <c r="F35" s="84">
        <f t="shared" si="3"/>
        <v>51.71</v>
      </c>
      <c r="G35" s="66">
        <f t="shared" si="4"/>
        <v>51.71</v>
      </c>
    </row>
    <row r="36" spans="1:7" ht="31.5" x14ac:dyDescent="0.25">
      <c r="A36" s="50" t="s">
        <v>5</v>
      </c>
      <c r="B36" s="312" t="s">
        <v>210</v>
      </c>
      <c r="C36" s="88">
        <v>2E-3</v>
      </c>
      <c r="D36" s="84">
        <f t="shared" si="1"/>
        <v>10.119999999999999</v>
      </c>
      <c r="E36" s="84">
        <f t="shared" si="2"/>
        <v>10.119999999999999</v>
      </c>
      <c r="F36" s="84">
        <f t="shared" si="3"/>
        <v>10.34</v>
      </c>
      <c r="G36" s="66">
        <f t="shared" si="4"/>
        <v>10.34</v>
      </c>
    </row>
    <row r="37" spans="1:7" x14ac:dyDescent="0.25">
      <c r="A37" s="50" t="s">
        <v>20</v>
      </c>
      <c r="B37" s="87" t="s">
        <v>211</v>
      </c>
      <c r="C37" s="88">
        <v>2.5000000000000001E-2</v>
      </c>
      <c r="D37" s="84">
        <f t="shared" si="1"/>
        <v>126.45</v>
      </c>
      <c r="E37" s="84">
        <f t="shared" si="2"/>
        <v>126.45</v>
      </c>
      <c r="F37" s="84">
        <f t="shared" si="3"/>
        <v>129.29</v>
      </c>
      <c r="G37" s="66">
        <f t="shared" si="4"/>
        <v>129.29</v>
      </c>
    </row>
    <row r="38" spans="1:7" x14ac:dyDescent="0.25">
      <c r="A38" s="50" t="s">
        <v>21</v>
      </c>
      <c r="B38" s="115" t="s">
        <v>212</v>
      </c>
      <c r="C38" s="88">
        <v>0.08</v>
      </c>
      <c r="D38" s="84">
        <f t="shared" si="1"/>
        <v>404.66</v>
      </c>
      <c r="E38" s="84">
        <f t="shared" si="2"/>
        <v>404.66</v>
      </c>
      <c r="F38" s="84">
        <f t="shared" si="3"/>
        <v>413.71</v>
      </c>
      <c r="G38" s="66">
        <f t="shared" si="4"/>
        <v>413.71</v>
      </c>
    </row>
    <row r="39" spans="1:7" ht="47.25" x14ac:dyDescent="0.25">
      <c r="A39" s="50" t="s">
        <v>22</v>
      </c>
      <c r="B39" s="312" t="s">
        <v>213</v>
      </c>
      <c r="C39" s="88">
        <v>0.03</v>
      </c>
      <c r="D39" s="84">
        <f t="shared" si="1"/>
        <v>151.75</v>
      </c>
      <c r="E39" s="84">
        <f t="shared" si="2"/>
        <v>151.75</v>
      </c>
      <c r="F39" s="84">
        <f t="shared" si="3"/>
        <v>155.13999999999999</v>
      </c>
      <c r="G39" s="66">
        <f t="shared" si="4"/>
        <v>155.13999999999999</v>
      </c>
    </row>
    <row r="40" spans="1:7" x14ac:dyDescent="0.25">
      <c r="A40" s="50" t="s">
        <v>26</v>
      </c>
      <c r="B40" s="114" t="s">
        <v>214</v>
      </c>
      <c r="C40" s="88">
        <v>6.0000000000000001E-3</v>
      </c>
      <c r="D40" s="84">
        <f t="shared" si="1"/>
        <v>30.35</v>
      </c>
      <c r="E40" s="84">
        <f t="shared" si="2"/>
        <v>30.35</v>
      </c>
      <c r="F40" s="84">
        <f t="shared" si="3"/>
        <v>31.03</v>
      </c>
      <c r="G40" s="66">
        <f t="shared" si="4"/>
        <v>31.03</v>
      </c>
    </row>
    <row r="41" spans="1:7" s="30" customFormat="1" x14ac:dyDescent="0.25">
      <c r="A41" s="418" t="s">
        <v>27</v>
      </c>
      <c r="B41" s="419"/>
      <c r="C41" s="60">
        <f>SUM(C33:C40)</f>
        <v>0.36799999999999999</v>
      </c>
      <c r="D41" s="86">
        <f>SUM(D33:D40)</f>
        <v>1861.42</v>
      </c>
      <c r="E41" s="86">
        <f>SUM(E33:E40)</f>
        <v>1861.42</v>
      </c>
      <c r="F41" s="86">
        <f>SUM(F33:F40)</f>
        <v>1903.07</v>
      </c>
      <c r="G41" s="67">
        <f>SUM(G33:G40)</f>
        <v>1903.07</v>
      </c>
    </row>
    <row r="42" spans="1:7" s="30" customFormat="1" x14ac:dyDescent="0.25">
      <c r="A42" s="402" t="s">
        <v>173</v>
      </c>
      <c r="B42" s="403"/>
      <c r="C42" s="403"/>
      <c r="D42" s="284"/>
      <c r="E42" s="284"/>
      <c r="F42" s="284"/>
      <c r="G42" s="285"/>
    </row>
    <row r="43" spans="1:7" s="30" customFormat="1" x14ac:dyDescent="0.25">
      <c r="A43" s="80" t="s">
        <v>216</v>
      </c>
      <c r="B43" s="427" t="s">
        <v>217</v>
      </c>
      <c r="C43" s="428"/>
      <c r="D43" s="112" t="s">
        <v>10</v>
      </c>
      <c r="E43" s="112" t="s">
        <v>10</v>
      </c>
      <c r="F43" s="112" t="s">
        <v>10</v>
      </c>
      <c r="G43" s="206" t="s">
        <v>10</v>
      </c>
    </row>
    <row r="44" spans="1:7" s="30" customFormat="1" x14ac:dyDescent="0.25">
      <c r="A44" s="98" t="s">
        <v>0</v>
      </c>
      <c r="B44" s="56" t="s">
        <v>144</v>
      </c>
      <c r="C44" s="113"/>
      <c r="D44" s="309">
        <v>129.66999999999999</v>
      </c>
      <c r="E44" s="309">
        <v>129.66999999999999</v>
      </c>
      <c r="F44" s="309">
        <v>129.66999999999999</v>
      </c>
      <c r="G44" s="310">
        <v>129.66999999999999</v>
      </c>
    </row>
    <row r="45" spans="1:7" s="30" customFormat="1" x14ac:dyDescent="0.25">
      <c r="A45" s="48" t="s">
        <v>2</v>
      </c>
      <c r="B45" s="47" t="s">
        <v>191</v>
      </c>
      <c r="C45" s="79">
        <v>581.85</v>
      </c>
      <c r="D45" s="81">
        <f>C45-(C45*0.99%)</f>
        <v>576.09</v>
      </c>
      <c r="E45" s="81">
        <f>C45-(C45*0.99%)</f>
        <v>576.09</v>
      </c>
      <c r="F45" s="81">
        <f>C45-(C45*0.99%)</f>
        <v>576.09</v>
      </c>
      <c r="G45" s="63">
        <f>C45-(C45*0.99%)</f>
        <v>576.09</v>
      </c>
    </row>
    <row r="46" spans="1:7" s="30" customFormat="1" x14ac:dyDescent="0.25">
      <c r="A46" s="50" t="s">
        <v>3</v>
      </c>
      <c r="B46" s="51" t="s">
        <v>134</v>
      </c>
      <c r="C46" s="71"/>
      <c r="D46" s="91">
        <v>0</v>
      </c>
      <c r="E46" s="91">
        <v>0</v>
      </c>
      <c r="F46" s="91">
        <v>0</v>
      </c>
      <c r="G46" s="68">
        <v>0</v>
      </c>
    </row>
    <row r="47" spans="1:7" s="30" customFormat="1" x14ac:dyDescent="0.25">
      <c r="A47" s="50" t="s">
        <v>5</v>
      </c>
      <c r="B47" s="51" t="s">
        <v>135</v>
      </c>
      <c r="C47" s="59">
        <v>0.5</v>
      </c>
      <c r="D47" s="91">
        <f>(D18*C47*0.0199*2)/12</f>
        <v>5.39</v>
      </c>
      <c r="E47" s="91">
        <f>(E18*C47*0.0199*2)/12</f>
        <v>5.39</v>
      </c>
      <c r="F47" s="91">
        <f>(F18*C47*0.0199*2)/12</f>
        <v>6.26</v>
      </c>
      <c r="G47" s="68">
        <f>(G18*C47*0.0199*2)/12</f>
        <v>6.26</v>
      </c>
    </row>
    <row r="48" spans="1:7" s="30" customFormat="1" x14ac:dyDescent="0.25">
      <c r="A48" s="50" t="s">
        <v>20</v>
      </c>
      <c r="B48" s="51" t="s">
        <v>136</v>
      </c>
      <c r="C48" s="71">
        <v>34733.21</v>
      </c>
      <c r="D48" s="84">
        <f>(C48*0.5%)/12</f>
        <v>14.47</v>
      </c>
      <c r="E48" s="84">
        <f>(C48*0.5%)/12</f>
        <v>14.47</v>
      </c>
      <c r="F48" s="84">
        <f>(C48*0.5%)/12</f>
        <v>14.47</v>
      </c>
      <c r="G48" s="66">
        <f>(C48*0.5%)/12</f>
        <v>14.47</v>
      </c>
    </row>
    <row r="49" spans="1:7" s="30" customFormat="1" ht="15.75" customHeight="1" x14ac:dyDescent="0.25">
      <c r="A49" s="418" t="s">
        <v>23</v>
      </c>
      <c r="B49" s="419"/>
      <c r="C49" s="419"/>
      <c r="D49" s="86">
        <f>SUM(D44:D48)</f>
        <v>725.62</v>
      </c>
      <c r="E49" s="86">
        <f>SUM(E44:E48)</f>
        <v>725.62</v>
      </c>
      <c r="F49" s="86">
        <f>SUM(F44:F48)</f>
        <v>726.49</v>
      </c>
      <c r="G49" s="67">
        <f>SUM(G44:G48)</f>
        <v>726.49</v>
      </c>
    </row>
    <row r="50" spans="1:7" s="30" customFormat="1" ht="15.75" customHeight="1" x14ac:dyDescent="0.25">
      <c r="A50" s="402" t="s">
        <v>224</v>
      </c>
      <c r="B50" s="403"/>
      <c r="C50" s="403"/>
      <c r="D50" s="284"/>
      <c r="E50" s="284"/>
      <c r="F50" s="284"/>
      <c r="G50" s="285"/>
    </row>
    <row r="51" spans="1:7" s="30" customFormat="1" ht="15.75" customHeight="1" x14ac:dyDescent="0.25">
      <c r="A51" s="316" t="s">
        <v>141</v>
      </c>
      <c r="B51" s="110" t="s">
        <v>145</v>
      </c>
      <c r="C51" s="317"/>
      <c r="D51" s="69">
        <f>D30</f>
        <v>823.27</v>
      </c>
      <c r="E51" s="69">
        <f>E30</f>
        <v>823.27</v>
      </c>
      <c r="F51" s="69">
        <f>F30</f>
        <v>936.5</v>
      </c>
      <c r="G51" s="209">
        <f>G30</f>
        <v>936.5</v>
      </c>
    </row>
    <row r="52" spans="1:7" s="30" customFormat="1" ht="15.75" customHeight="1" x14ac:dyDescent="0.25">
      <c r="A52" s="316" t="s">
        <v>215</v>
      </c>
      <c r="B52" s="110" t="s">
        <v>146</v>
      </c>
      <c r="C52" s="317"/>
      <c r="D52" s="69">
        <f>D41</f>
        <v>1861.42</v>
      </c>
      <c r="E52" s="69">
        <f>E41</f>
        <v>1861.42</v>
      </c>
      <c r="F52" s="69">
        <f>F41</f>
        <v>1903.07</v>
      </c>
      <c r="G52" s="209">
        <f>G41</f>
        <v>1903.07</v>
      </c>
    </row>
    <row r="53" spans="1:7" s="30" customFormat="1" ht="15.75" customHeight="1" x14ac:dyDescent="0.25">
      <c r="A53" s="316" t="s">
        <v>216</v>
      </c>
      <c r="B53" s="110" t="s">
        <v>147</v>
      </c>
      <c r="C53" s="317"/>
      <c r="D53" s="69">
        <f>D49</f>
        <v>725.62</v>
      </c>
      <c r="E53" s="69">
        <f>E49</f>
        <v>725.62</v>
      </c>
      <c r="F53" s="69">
        <f>F49</f>
        <v>726.49</v>
      </c>
      <c r="G53" s="209">
        <f>G49</f>
        <v>726.49</v>
      </c>
    </row>
    <row r="54" spans="1:7" s="30" customFormat="1" ht="15.75" customHeight="1" x14ac:dyDescent="0.25">
      <c r="A54" s="400" t="s">
        <v>153</v>
      </c>
      <c r="B54" s="401"/>
      <c r="C54" s="401"/>
      <c r="D54" s="70">
        <f>SUM(D51:D53)</f>
        <v>3410.31</v>
      </c>
      <c r="E54" s="70">
        <f>SUM(E51:E53)</f>
        <v>3410.31</v>
      </c>
      <c r="F54" s="70">
        <f>SUM(F51:F53)</f>
        <v>3566.06</v>
      </c>
      <c r="G54" s="65">
        <f>SUM(G51:G53)</f>
        <v>3566.06</v>
      </c>
    </row>
    <row r="55" spans="1:7" s="30" customFormat="1" ht="15.75" customHeight="1" x14ac:dyDescent="0.25">
      <c r="A55" s="452" t="s">
        <v>162</v>
      </c>
      <c r="B55" s="453"/>
      <c r="C55" s="453"/>
      <c r="D55" s="294"/>
      <c r="E55" s="294"/>
      <c r="F55" s="294"/>
      <c r="G55" s="295"/>
    </row>
    <row r="56" spans="1:7" s="30" customFormat="1" ht="15.75" customHeight="1" x14ac:dyDescent="0.25">
      <c r="A56" s="314" t="s">
        <v>200</v>
      </c>
      <c r="B56" s="396" t="s">
        <v>32</v>
      </c>
      <c r="C56" s="397"/>
      <c r="D56" s="74" t="s">
        <v>10</v>
      </c>
      <c r="E56" s="74" t="s">
        <v>10</v>
      </c>
      <c r="F56" s="74" t="s">
        <v>10</v>
      </c>
      <c r="G56" s="188" t="s">
        <v>10</v>
      </c>
    </row>
    <row r="57" spans="1:7" s="30" customFormat="1" ht="15.75" customHeight="1" x14ac:dyDescent="0.25">
      <c r="A57" s="50" t="s">
        <v>0</v>
      </c>
      <c r="B57" s="51" t="s">
        <v>33</v>
      </c>
      <c r="C57" s="59">
        <v>4.5999999999999999E-3</v>
      </c>
      <c r="D57" s="84">
        <f>D$25*C57</f>
        <v>19.48</v>
      </c>
      <c r="E57" s="84">
        <f>E$25*C57</f>
        <v>19.48</v>
      </c>
      <c r="F57" s="84">
        <f>F$25*C57</f>
        <v>22.16</v>
      </c>
      <c r="G57" s="66">
        <f>G$25*C57</f>
        <v>22.16</v>
      </c>
    </row>
    <row r="58" spans="1:7" s="30" customFormat="1" ht="15.75" customHeight="1" x14ac:dyDescent="0.25">
      <c r="A58" s="50" t="s">
        <v>2</v>
      </c>
      <c r="B58" s="51" t="s">
        <v>34</v>
      </c>
      <c r="C58" s="59">
        <v>4.0000000000000002E-4</v>
      </c>
      <c r="D58" s="84">
        <f>D$25*C58</f>
        <v>1.69</v>
      </c>
      <c r="E58" s="84">
        <f>E$25*C58</f>
        <v>1.69</v>
      </c>
      <c r="F58" s="84">
        <f>F$25*C58</f>
        <v>1.93</v>
      </c>
      <c r="G58" s="66">
        <f>G$25*C58</f>
        <v>1.93</v>
      </c>
    </row>
    <row r="59" spans="1:7" s="30" customFormat="1" ht="15.75" customHeight="1" x14ac:dyDescent="0.25">
      <c r="A59" s="50" t="s">
        <v>3</v>
      </c>
      <c r="B59" s="54" t="s">
        <v>35</v>
      </c>
      <c r="C59" s="59">
        <v>1.9400000000000001E-2</v>
      </c>
      <c r="D59" s="84">
        <f>D$25*C59</f>
        <v>82.16</v>
      </c>
      <c r="E59" s="84">
        <f>E$25*C59</f>
        <v>82.16</v>
      </c>
      <c r="F59" s="84">
        <f>F$25*C59</f>
        <v>93.46</v>
      </c>
      <c r="G59" s="66">
        <f>G$25*C59</f>
        <v>93.46</v>
      </c>
    </row>
    <row r="60" spans="1:7" s="30" customFormat="1" ht="30.75" customHeight="1" x14ac:dyDescent="0.25">
      <c r="A60" s="50" t="s">
        <v>5</v>
      </c>
      <c r="B60" s="51" t="s">
        <v>174</v>
      </c>
      <c r="C60" s="59">
        <v>7.1000000000000004E-3</v>
      </c>
      <c r="D60" s="84">
        <f>D$25*C60</f>
        <v>30.07</v>
      </c>
      <c r="E60" s="84">
        <f>E$25*C60</f>
        <v>30.07</v>
      </c>
      <c r="F60" s="84">
        <f>F$25*C60</f>
        <v>34.200000000000003</v>
      </c>
      <c r="G60" s="66">
        <f>G$25*C60</f>
        <v>34.200000000000003</v>
      </c>
    </row>
    <row r="61" spans="1:7" s="30" customFormat="1" ht="15.75" customHeight="1" x14ac:dyDescent="0.25">
      <c r="A61" s="50" t="s">
        <v>20</v>
      </c>
      <c r="B61" s="51" t="s">
        <v>149</v>
      </c>
      <c r="C61" s="59">
        <v>0.04</v>
      </c>
      <c r="D61" s="84">
        <f>D$25*C61</f>
        <v>169.4</v>
      </c>
      <c r="E61" s="84">
        <f>E$25*C61</f>
        <v>169.4</v>
      </c>
      <c r="F61" s="84">
        <f>F$25*C61</f>
        <v>192.69</v>
      </c>
      <c r="G61" s="66">
        <f>G$25*C61</f>
        <v>192.69</v>
      </c>
    </row>
    <row r="62" spans="1:7" s="30" customFormat="1" x14ac:dyDescent="0.25">
      <c r="A62" s="400" t="s">
        <v>154</v>
      </c>
      <c r="B62" s="401"/>
      <c r="C62" s="401"/>
      <c r="D62" s="70">
        <f>SUM(D57:D61)</f>
        <v>302.8</v>
      </c>
      <c r="E62" s="70">
        <f>SUM(E57:E61)</f>
        <v>302.8</v>
      </c>
      <c r="F62" s="70">
        <f>SUM(F57:F61)</f>
        <v>344.44</v>
      </c>
      <c r="G62" s="65">
        <f>SUM(G57:G61)</f>
        <v>344.44</v>
      </c>
    </row>
    <row r="63" spans="1:7" s="30" customFormat="1" x14ac:dyDescent="0.25">
      <c r="A63" s="452" t="s">
        <v>163</v>
      </c>
      <c r="B63" s="453"/>
      <c r="C63" s="453"/>
      <c r="D63" s="294"/>
      <c r="E63" s="294"/>
      <c r="F63" s="294"/>
      <c r="G63" s="295"/>
    </row>
    <row r="64" spans="1:7" s="30" customFormat="1" x14ac:dyDescent="0.25">
      <c r="A64" s="314" t="s">
        <v>199</v>
      </c>
      <c r="B64" s="430" t="s">
        <v>198</v>
      </c>
      <c r="C64" s="430"/>
      <c r="D64" s="74" t="s">
        <v>10</v>
      </c>
      <c r="E64" s="74" t="s">
        <v>10</v>
      </c>
      <c r="F64" s="74" t="s">
        <v>10</v>
      </c>
      <c r="G64" s="188" t="s">
        <v>10</v>
      </c>
    </row>
    <row r="65" spans="1:7" s="30" customFormat="1" x14ac:dyDescent="0.25">
      <c r="A65" s="50" t="s">
        <v>0</v>
      </c>
      <c r="B65" s="51" t="s">
        <v>192</v>
      </c>
      <c r="C65" s="59">
        <v>9.2999999999999992E-3</v>
      </c>
      <c r="D65" s="84">
        <f t="shared" ref="D65:D70" si="5">(D$25+D$54+D$62+D$85)*C65</f>
        <v>74.260000000000005</v>
      </c>
      <c r="E65" s="84">
        <f t="shared" ref="E65:E70" si="6">(E$25+E$54+E$62+E$85)*C65</f>
        <v>74.260000000000005</v>
      </c>
      <c r="F65" s="84">
        <f t="shared" ref="F65:F70" si="7">(F$25+F$54+F$62+F$85)*C65</f>
        <v>81.510000000000005</v>
      </c>
      <c r="G65" s="66">
        <f t="shared" ref="G65:G70" si="8">(G$25+G$54+G$62+G$85)*C65</f>
        <v>81.510000000000005</v>
      </c>
    </row>
    <row r="66" spans="1:7" s="30" customFormat="1" x14ac:dyDescent="0.25">
      <c r="A66" s="50" t="s">
        <v>2</v>
      </c>
      <c r="B66" s="51" t="s">
        <v>193</v>
      </c>
      <c r="C66" s="59">
        <v>1.66E-2</v>
      </c>
      <c r="D66" s="84">
        <f t="shared" si="5"/>
        <v>132.55000000000001</v>
      </c>
      <c r="E66" s="84">
        <f t="shared" si="6"/>
        <v>132.55000000000001</v>
      </c>
      <c r="F66" s="84">
        <f t="shared" si="7"/>
        <v>145.49</v>
      </c>
      <c r="G66" s="66">
        <f t="shared" si="8"/>
        <v>145.49</v>
      </c>
    </row>
    <row r="67" spans="1:7" s="30" customFormat="1" x14ac:dyDescent="0.25">
      <c r="A67" s="50" t="s">
        <v>3</v>
      </c>
      <c r="B67" s="51" t="s">
        <v>194</v>
      </c>
      <c r="C67" s="59">
        <v>2.0000000000000001E-4</v>
      </c>
      <c r="D67" s="84">
        <f t="shared" si="5"/>
        <v>1.6</v>
      </c>
      <c r="E67" s="84">
        <f t="shared" si="6"/>
        <v>1.6</v>
      </c>
      <c r="F67" s="84">
        <f t="shared" si="7"/>
        <v>1.75</v>
      </c>
      <c r="G67" s="66">
        <f t="shared" si="8"/>
        <v>1.75</v>
      </c>
    </row>
    <row r="68" spans="1:7" s="30" customFormat="1" x14ac:dyDescent="0.25">
      <c r="A68" s="50" t="s">
        <v>5</v>
      </c>
      <c r="B68" s="51" t="s">
        <v>195</v>
      </c>
      <c r="C68" s="59">
        <v>2.7000000000000001E-3</v>
      </c>
      <c r="D68" s="84">
        <f t="shared" si="5"/>
        <v>21.56</v>
      </c>
      <c r="E68" s="84">
        <f t="shared" si="6"/>
        <v>21.56</v>
      </c>
      <c r="F68" s="84">
        <f t="shared" si="7"/>
        <v>23.66</v>
      </c>
      <c r="G68" s="66">
        <f t="shared" si="8"/>
        <v>23.66</v>
      </c>
    </row>
    <row r="69" spans="1:7" s="30" customFormat="1" x14ac:dyDescent="0.25">
      <c r="A69" s="50" t="s">
        <v>20</v>
      </c>
      <c r="B69" s="51" t="s">
        <v>196</v>
      </c>
      <c r="C69" s="59">
        <v>2.9999999999999997E-4</v>
      </c>
      <c r="D69" s="84">
        <f t="shared" si="5"/>
        <v>2.4</v>
      </c>
      <c r="E69" s="84">
        <f t="shared" si="6"/>
        <v>2.4</v>
      </c>
      <c r="F69" s="84">
        <f t="shared" si="7"/>
        <v>2.63</v>
      </c>
      <c r="G69" s="66">
        <f t="shared" si="8"/>
        <v>2.63</v>
      </c>
    </row>
    <row r="70" spans="1:7" s="30" customFormat="1" ht="15.75" customHeight="1" x14ac:dyDescent="0.25">
      <c r="A70" s="50" t="s">
        <v>21</v>
      </c>
      <c r="B70" s="315" t="s">
        <v>197</v>
      </c>
      <c r="C70" s="59">
        <v>0</v>
      </c>
      <c r="D70" s="84">
        <f t="shared" si="5"/>
        <v>0</v>
      </c>
      <c r="E70" s="84">
        <f t="shared" si="6"/>
        <v>0</v>
      </c>
      <c r="F70" s="84">
        <f t="shared" si="7"/>
        <v>0</v>
      </c>
      <c r="G70" s="66">
        <f t="shared" si="8"/>
        <v>0</v>
      </c>
    </row>
    <row r="71" spans="1:7" s="30" customFormat="1" x14ac:dyDescent="0.25">
      <c r="A71" s="418" t="s">
        <v>29</v>
      </c>
      <c r="B71" s="419"/>
      <c r="C71" s="60">
        <f>SUM(C65:C70)</f>
        <v>2.9100000000000001E-2</v>
      </c>
      <c r="D71" s="86">
        <f>SUM(D65:D70)</f>
        <v>232.37</v>
      </c>
      <c r="E71" s="86">
        <f>SUM(E65:E70)</f>
        <v>232.37</v>
      </c>
      <c r="F71" s="86">
        <f>SUM(F65:F70)</f>
        <v>255.04</v>
      </c>
      <c r="G71" s="67">
        <f>SUM(G65:G70)</f>
        <v>255.04</v>
      </c>
    </row>
    <row r="72" spans="1:7" s="30" customFormat="1" x14ac:dyDescent="0.25">
      <c r="A72" s="316"/>
      <c r="B72" s="317"/>
      <c r="C72" s="78"/>
      <c r="D72" s="78"/>
      <c r="E72" s="81"/>
      <c r="F72" s="78"/>
      <c r="G72" s="63"/>
    </row>
    <row r="73" spans="1:7" s="30" customFormat="1" x14ac:dyDescent="0.25">
      <c r="A73" s="316"/>
      <c r="B73" s="420" t="s">
        <v>201</v>
      </c>
      <c r="C73" s="429"/>
      <c r="D73" s="74" t="s">
        <v>10</v>
      </c>
      <c r="E73" s="74" t="s">
        <v>10</v>
      </c>
      <c r="F73" s="74" t="s">
        <v>10</v>
      </c>
      <c r="G73" s="188" t="s">
        <v>10</v>
      </c>
    </row>
    <row r="74" spans="1:7" s="30" customFormat="1" x14ac:dyDescent="0.25">
      <c r="A74" s="50" t="s">
        <v>0</v>
      </c>
      <c r="B74" s="51" t="s">
        <v>202</v>
      </c>
      <c r="C74" s="59">
        <v>0</v>
      </c>
      <c r="D74" s="84">
        <f>(D$25+D$54+D$62)*C74</f>
        <v>0</v>
      </c>
      <c r="E74" s="84">
        <f>(E$25+E$54+E$62)*C74</f>
        <v>0</v>
      </c>
      <c r="F74" s="84">
        <f>(F$25+F$54+F$62)*C74</f>
        <v>0</v>
      </c>
      <c r="G74" s="66">
        <f>(G$25+G$54+G$62)*C74</f>
        <v>0</v>
      </c>
    </row>
    <row r="75" spans="1:7" s="30" customFormat="1" ht="15.75" customHeight="1" x14ac:dyDescent="0.25">
      <c r="A75" s="418" t="s">
        <v>27</v>
      </c>
      <c r="B75" s="419"/>
      <c r="C75" s="101">
        <f>C74</f>
        <v>0</v>
      </c>
      <c r="D75" s="86">
        <f>D74</f>
        <v>0</v>
      </c>
      <c r="E75" s="86">
        <f>E74</f>
        <v>0</v>
      </c>
      <c r="F75" s="86">
        <f>F74</f>
        <v>0</v>
      </c>
      <c r="G75" s="67">
        <f>G74</f>
        <v>0</v>
      </c>
    </row>
    <row r="76" spans="1:7" s="30" customFormat="1" ht="15.75" customHeight="1" x14ac:dyDescent="0.25">
      <c r="A76" s="402" t="s">
        <v>30</v>
      </c>
      <c r="B76" s="403"/>
      <c r="C76" s="403"/>
      <c r="D76" s="284"/>
      <c r="E76" s="284"/>
      <c r="F76" s="284"/>
      <c r="G76" s="285"/>
    </row>
    <row r="77" spans="1:7" s="30" customFormat="1" ht="15.75" customHeight="1" x14ac:dyDescent="0.25">
      <c r="A77" s="454" t="s">
        <v>203</v>
      </c>
      <c r="B77" s="455"/>
      <c r="C77" s="455"/>
      <c r="D77" s="106"/>
      <c r="E77" s="106"/>
      <c r="F77" s="106"/>
      <c r="G77" s="296"/>
    </row>
    <row r="78" spans="1:7" s="30" customFormat="1" ht="15.75" customHeight="1" x14ac:dyDescent="0.25">
      <c r="A78" s="314">
        <v>4</v>
      </c>
      <c r="B78" s="396" t="s">
        <v>31</v>
      </c>
      <c r="C78" s="397"/>
      <c r="D78" s="74" t="s">
        <v>10</v>
      </c>
      <c r="E78" s="74" t="s">
        <v>10</v>
      </c>
      <c r="F78" s="74" t="s">
        <v>10</v>
      </c>
      <c r="G78" s="188" t="s">
        <v>10</v>
      </c>
    </row>
    <row r="79" spans="1:7" s="30" customFormat="1" ht="15.75" customHeight="1" x14ac:dyDescent="0.25">
      <c r="A79" s="50" t="s">
        <v>199</v>
      </c>
      <c r="B79" s="315" t="s">
        <v>198</v>
      </c>
      <c r="C79" s="59">
        <f>C71</f>
        <v>2.9100000000000001E-2</v>
      </c>
      <c r="D79" s="84">
        <f>D71</f>
        <v>232.37</v>
      </c>
      <c r="E79" s="84">
        <f>E71</f>
        <v>232.37</v>
      </c>
      <c r="F79" s="84">
        <f>F71</f>
        <v>255.04</v>
      </c>
      <c r="G79" s="66">
        <f>G71</f>
        <v>255.04</v>
      </c>
    </row>
    <row r="80" spans="1:7" s="30" customFormat="1" ht="15.75" customHeight="1" x14ac:dyDescent="0.25">
      <c r="A80" s="50" t="s">
        <v>221</v>
      </c>
      <c r="B80" s="315" t="s">
        <v>201</v>
      </c>
      <c r="C80" s="59">
        <v>0</v>
      </c>
      <c r="D80" s="84">
        <f>(D$25+D$54+D$62)*C80</f>
        <v>0</v>
      </c>
      <c r="E80" s="84">
        <f>(E$25+E$54+E$62)*C80</f>
        <v>0</v>
      </c>
      <c r="F80" s="84">
        <f>(F$25+F$54+F$62)*C80</f>
        <v>0</v>
      </c>
      <c r="G80" s="66">
        <f>(G$25+G$54+G$62)*C80</f>
        <v>0</v>
      </c>
    </row>
    <row r="81" spans="1:7" s="30" customFormat="1" ht="15.75" customHeight="1" x14ac:dyDescent="0.25">
      <c r="A81" s="418" t="s">
        <v>27</v>
      </c>
      <c r="B81" s="419"/>
      <c r="C81" s="99">
        <f>SUM(C79:C80)</f>
        <v>2.9100000000000001E-2</v>
      </c>
      <c r="D81" s="86">
        <f>SUM(D79:D80)</f>
        <v>232.37</v>
      </c>
      <c r="E81" s="86">
        <f>SUM(E79:E80)</f>
        <v>232.37</v>
      </c>
      <c r="F81" s="86">
        <f>SUM(F79:F80)</f>
        <v>255.04</v>
      </c>
      <c r="G81" s="67">
        <f>SUM(G79:G80)</f>
        <v>255.04</v>
      </c>
    </row>
    <row r="82" spans="1:7" s="30" customFormat="1" ht="15.75" customHeight="1" x14ac:dyDescent="0.25">
      <c r="A82" s="400" t="s">
        <v>155</v>
      </c>
      <c r="B82" s="401"/>
      <c r="C82" s="401"/>
      <c r="D82" s="70">
        <f>SUM(D75+D81)</f>
        <v>232.37</v>
      </c>
      <c r="E82" s="70">
        <f>SUM(E75+E81)</f>
        <v>232.37</v>
      </c>
      <c r="F82" s="70">
        <f>SUM(F75+F81)</f>
        <v>255.04</v>
      </c>
      <c r="G82" s="65">
        <f>SUM(G75+G81)</f>
        <v>255.04</v>
      </c>
    </row>
    <row r="83" spans="1:7" s="30" customFormat="1" ht="15.75" customHeight="1" x14ac:dyDescent="0.25">
      <c r="A83" s="452" t="s">
        <v>164</v>
      </c>
      <c r="B83" s="453"/>
      <c r="C83" s="453"/>
      <c r="D83" s="294"/>
      <c r="E83" s="294"/>
      <c r="F83" s="294"/>
      <c r="G83" s="295"/>
    </row>
    <row r="84" spans="1:7" s="30" customFormat="1" ht="15.75" customHeight="1" x14ac:dyDescent="0.25">
      <c r="A84" s="314">
        <v>5</v>
      </c>
      <c r="B84" s="396" t="s">
        <v>24</v>
      </c>
      <c r="C84" s="397"/>
      <c r="D84" s="74" t="s">
        <v>10</v>
      </c>
      <c r="E84" s="74" t="s">
        <v>10</v>
      </c>
      <c r="F84" s="74" t="s">
        <v>10</v>
      </c>
      <c r="G84" s="188" t="s">
        <v>10</v>
      </c>
    </row>
    <row r="85" spans="1:7" s="30" customFormat="1" ht="15.75" customHeight="1" x14ac:dyDescent="0.25">
      <c r="A85" s="48" t="s">
        <v>0</v>
      </c>
      <c r="B85" s="395" t="s">
        <v>222</v>
      </c>
      <c r="C85" s="395"/>
      <c r="D85" s="84">
        <f>Uniformes!H7</f>
        <v>36.619999999999997</v>
      </c>
      <c r="E85" s="84">
        <f>Uniformes!H7</f>
        <v>36.619999999999997</v>
      </c>
      <c r="F85" s="84">
        <f>Uniformes!H7</f>
        <v>36.619999999999997</v>
      </c>
      <c r="G85" s="66">
        <f>Uniformes!H7</f>
        <v>36.619999999999997</v>
      </c>
    </row>
    <row r="86" spans="1:7" s="30" customFormat="1" ht="15.75" customHeight="1" x14ac:dyDescent="0.25">
      <c r="A86" s="48" t="s">
        <v>2</v>
      </c>
      <c r="B86" s="395" t="s">
        <v>223</v>
      </c>
      <c r="C86" s="395"/>
      <c r="D86" s="84">
        <f>Materiais!H18</f>
        <v>64.819999999999993</v>
      </c>
      <c r="E86" s="84">
        <f>Materiais!H19</f>
        <v>64.819999999999993</v>
      </c>
      <c r="F86" s="84">
        <f>Materiais!H20</f>
        <v>44.57</v>
      </c>
      <c r="G86" s="66">
        <f>Materiais!H21</f>
        <v>44.57</v>
      </c>
    </row>
    <row r="87" spans="1:7" s="30" customFormat="1" ht="15.75" customHeight="1" x14ac:dyDescent="0.25">
      <c r="A87" s="48" t="s">
        <v>3</v>
      </c>
      <c r="B87" s="395" t="s">
        <v>187</v>
      </c>
      <c r="C87" s="395"/>
      <c r="D87" s="81">
        <f>Equipamentos!H18</f>
        <v>1312.5</v>
      </c>
      <c r="E87" s="81">
        <f>Equipamentos!H19</f>
        <v>1312.5</v>
      </c>
      <c r="F87" s="81">
        <f>Equipamentos!H20</f>
        <v>922.4</v>
      </c>
      <c r="G87" s="63">
        <f>Equipamentos!H21</f>
        <v>922.4</v>
      </c>
    </row>
    <row r="88" spans="1:7" s="30" customFormat="1" ht="15.75" customHeight="1" x14ac:dyDescent="0.25">
      <c r="A88" s="48" t="s">
        <v>5</v>
      </c>
      <c r="B88" s="395" t="s">
        <v>137</v>
      </c>
      <c r="C88" s="395"/>
      <c r="D88" s="84">
        <v>0</v>
      </c>
      <c r="E88" s="84">
        <v>0</v>
      </c>
      <c r="F88" s="84">
        <v>0</v>
      </c>
      <c r="G88" s="66">
        <v>0</v>
      </c>
    </row>
    <row r="89" spans="1:7" s="30" customFormat="1" ht="15.75" customHeight="1" x14ac:dyDescent="0.25">
      <c r="A89" s="400" t="s">
        <v>156</v>
      </c>
      <c r="B89" s="401"/>
      <c r="C89" s="401"/>
      <c r="D89" s="70">
        <f>SUM(D85:D88)</f>
        <v>1413.94</v>
      </c>
      <c r="E89" s="70">
        <f>SUM(E85:E88)</f>
        <v>1413.94</v>
      </c>
      <c r="F89" s="70">
        <f>SUM(F85:F88)</f>
        <v>1003.59</v>
      </c>
      <c r="G89" s="65">
        <f>SUM(G85:G88)</f>
        <v>1003.59</v>
      </c>
    </row>
    <row r="90" spans="1:7" s="30" customFormat="1" ht="30" customHeight="1" x14ac:dyDescent="0.25">
      <c r="A90" s="398" t="s">
        <v>225</v>
      </c>
      <c r="B90" s="399"/>
      <c r="C90" s="399"/>
      <c r="D90" s="167">
        <f>D89+D82+D62+D54+D25</f>
        <v>9594.34</v>
      </c>
      <c r="E90" s="167">
        <f>E89+E82+E62+E54+E25</f>
        <v>9594.34</v>
      </c>
      <c r="F90" s="167">
        <f>F89+F82+F62+F54+F25</f>
        <v>9986.5</v>
      </c>
      <c r="G90" s="230">
        <f>G89+G82+G62+G54+G25</f>
        <v>9986.5</v>
      </c>
    </row>
    <row r="91" spans="1:7" s="30" customFormat="1" ht="19.5" customHeight="1" x14ac:dyDescent="0.25">
      <c r="A91" s="452" t="s">
        <v>165</v>
      </c>
      <c r="B91" s="453"/>
      <c r="C91" s="453"/>
      <c r="D91" s="294"/>
      <c r="E91" s="294"/>
      <c r="F91" s="294"/>
      <c r="G91" s="295"/>
    </row>
    <row r="92" spans="1:7" s="30" customFormat="1" x14ac:dyDescent="0.25">
      <c r="A92" s="314">
        <v>6</v>
      </c>
      <c r="B92" s="396" t="s">
        <v>38</v>
      </c>
      <c r="C92" s="412"/>
      <c r="D92" s="74" t="s">
        <v>10</v>
      </c>
      <c r="E92" s="74" t="s">
        <v>10</v>
      </c>
      <c r="F92" s="74" t="s">
        <v>10</v>
      </c>
      <c r="G92" s="188" t="s">
        <v>10</v>
      </c>
    </row>
    <row r="93" spans="1:7" s="30" customFormat="1" x14ac:dyDescent="0.25">
      <c r="A93" s="314" t="s">
        <v>0</v>
      </c>
      <c r="B93" s="51" t="s">
        <v>39</v>
      </c>
      <c r="C93" s="59">
        <v>0.03</v>
      </c>
      <c r="D93" s="84">
        <f>+D90*C93</f>
        <v>287.83</v>
      </c>
      <c r="E93" s="84">
        <f>+E90*C93</f>
        <v>287.83</v>
      </c>
      <c r="F93" s="84">
        <f>+F90*C93</f>
        <v>299.60000000000002</v>
      </c>
      <c r="G93" s="66">
        <f>+G90*C93</f>
        <v>299.60000000000002</v>
      </c>
    </row>
    <row r="94" spans="1:7" s="30" customFormat="1" x14ac:dyDescent="0.25">
      <c r="A94" s="314" t="s">
        <v>2</v>
      </c>
      <c r="B94" s="51" t="s">
        <v>40</v>
      </c>
      <c r="C94" s="59">
        <v>6.7900000000000002E-2</v>
      </c>
      <c r="D94" s="84">
        <f>C94*(+D90+D93)</f>
        <v>671</v>
      </c>
      <c r="E94" s="84">
        <f>C94*(+E90+E93)</f>
        <v>671</v>
      </c>
      <c r="F94" s="84">
        <f>C94*(+F90+F93)</f>
        <v>698.43</v>
      </c>
      <c r="G94" s="66">
        <f>C94*(+G90+G93)</f>
        <v>698.43</v>
      </c>
    </row>
    <row r="95" spans="1:7" s="30" customFormat="1" ht="31.5" x14ac:dyDescent="0.25">
      <c r="A95" s="422" t="s">
        <v>3</v>
      </c>
      <c r="B95" s="51" t="s">
        <v>50</v>
      </c>
      <c r="C95" s="59">
        <f>1-C103</f>
        <v>0.85750000000000004</v>
      </c>
      <c r="D95" s="84">
        <f>+D90+D93+D94</f>
        <v>10553.17</v>
      </c>
      <c r="E95" s="84">
        <f>+E90+E93+E94</f>
        <v>10553.17</v>
      </c>
      <c r="F95" s="84">
        <f>+F90+F93+F94</f>
        <v>10984.53</v>
      </c>
      <c r="G95" s="66">
        <f>+G90+G93+G94</f>
        <v>10984.53</v>
      </c>
    </row>
    <row r="96" spans="1:7" s="30" customFormat="1" x14ac:dyDescent="0.25">
      <c r="A96" s="422"/>
      <c r="B96" s="315" t="s">
        <v>41</v>
      </c>
      <c r="C96" s="95"/>
      <c r="D96" s="168">
        <f>+D95/C95</f>
        <v>12306.9</v>
      </c>
      <c r="E96" s="168">
        <f>+E95/C95</f>
        <v>12306.9</v>
      </c>
      <c r="F96" s="168">
        <f>+F95/C95</f>
        <v>12809.95</v>
      </c>
      <c r="G96" s="231">
        <f>+G95/C95</f>
        <v>12809.95</v>
      </c>
    </row>
    <row r="97" spans="1:7" s="30" customFormat="1" x14ac:dyDescent="0.25">
      <c r="A97" s="422"/>
      <c r="B97" s="315" t="s">
        <v>42</v>
      </c>
      <c r="C97" s="315"/>
      <c r="D97" s="84"/>
      <c r="E97" s="84"/>
      <c r="F97" s="84"/>
      <c r="G97" s="66"/>
    </row>
    <row r="98" spans="1:7" s="30" customFormat="1" x14ac:dyDescent="0.25">
      <c r="A98" s="422"/>
      <c r="B98" s="51" t="s">
        <v>130</v>
      </c>
      <c r="C98" s="59">
        <v>1.6500000000000001E-2</v>
      </c>
      <c r="D98" s="84">
        <f>+D96*C98</f>
        <v>203.06</v>
      </c>
      <c r="E98" s="84">
        <f>+E96*C98</f>
        <v>203.06</v>
      </c>
      <c r="F98" s="84">
        <f>+F96*C98</f>
        <v>211.36</v>
      </c>
      <c r="G98" s="66">
        <f>+G96*C98</f>
        <v>211.36</v>
      </c>
    </row>
    <row r="99" spans="1:7" s="30" customFormat="1" x14ac:dyDescent="0.25">
      <c r="A99" s="422"/>
      <c r="B99" s="51" t="s">
        <v>131</v>
      </c>
      <c r="C99" s="59">
        <v>7.5999999999999998E-2</v>
      </c>
      <c r="D99" s="84">
        <f>+D96*C99</f>
        <v>935.32</v>
      </c>
      <c r="E99" s="84">
        <f>+E96*C99</f>
        <v>935.32</v>
      </c>
      <c r="F99" s="84">
        <f>+F96*C99</f>
        <v>973.56</v>
      </c>
      <c r="G99" s="66">
        <f>+G96*C99</f>
        <v>973.56</v>
      </c>
    </row>
    <row r="100" spans="1:7" s="30" customFormat="1" x14ac:dyDescent="0.25">
      <c r="A100" s="422"/>
      <c r="B100" s="53" t="s">
        <v>43</v>
      </c>
      <c r="C100" s="95"/>
      <c r="D100" s="95"/>
      <c r="E100" s="84"/>
      <c r="F100" s="95"/>
      <c r="G100" s="66"/>
    </row>
    <row r="101" spans="1:7" s="30" customFormat="1" x14ac:dyDescent="0.25">
      <c r="A101" s="422"/>
      <c r="B101" s="53" t="s">
        <v>44</v>
      </c>
      <c r="C101" s="102"/>
      <c r="D101" s="102"/>
      <c r="E101" s="84"/>
      <c r="F101" s="102"/>
      <c r="G101" s="66"/>
    </row>
    <row r="102" spans="1:7" s="30" customFormat="1" x14ac:dyDescent="0.25">
      <c r="A102" s="422"/>
      <c r="B102" s="51" t="s">
        <v>142</v>
      </c>
      <c r="C102" s="59">
        <v>0.05</v>
      </c>
      <c r="D102" s="84">
        <f>+D96*C102</f>
        <v>615.35</v>
      </c>
      <c r="E102" s="84">
        <f>+E96*C102</f>
        <v>615.35</v>
      </c>
      <c r="F102" s="84">
        <f>+F96*C102</f>
        <v>640.5</v>
      </c>
      <c r="G102" s="66">
        <f>+G96*C102</f>
        <v>640.5</v>
      </c>
    </row>
    <row r="103" spans="1:7" s="30" customFormat="1" x14ac:dyDescent="0.25">
      <c r="A103" s="314"/>
      <c r="B103" s="106" t="s">
        <v>45</v>
      </c>
      <c r="C103" s="107">
        <f>SUM(C98:C102)</f>
        <v>0.14249999999999999</v>
      </c>
      <c r="D103" s="108">
        <f>SUM(D98:D102)</f>
        <v>1753.73</v>
      </c>
      <c r="E103" s="108">
        <f>SUM(E98:E102)</f>
        <v>1753.73</v>
      </c>
      <c r="F103" s="108">
        <f>SUM(F98:F102)</f>
        <v>1825.42</v>
      </c>
      <c r="G103" s="212">
        <f>SUM(G98:G102)</f>
        <v>1825.42</v>
      </c>
    </row>
    <row r="104" spans="1:7" s="30" customFormat="1" ht="15.75" customHeight="1" x14ac:dyDescent="0.25">
      <c r="A104" s="418" t="s">
        <v>46</v>
      </c>
      <c r="B104" s="419"/>
      <c r="C104" s="419"/>
      <c r="D104" s="86">
        <f>+D93+D94+D103</f>
        <v>2712.56</v>
      </c>
      <c r="E104" s="86">
        <f>+E93+E94+E103</f>
        <v>2712.56</v>
      </c>
      <c r="F104" s="86">
        <f>+F93+F94+F103</f>
        <v>2823.45</v>
      </c>
      <c r="G104" s="67">
        <f>+G93+G94+G103</f>
        <v>2823.45</v>
      </c>
    </row>
    <row r="105" spans="1:7" s="30" customFormat="1" ht="15.75" customHeight="1" x14ac:dyDescent="0.25">
      <c r="A105" s="456" t="s">
        <v>47</v>
      </c>
      <c r="B105" s="457"/>
      <c r="C105" s="457"/>
      <c r="D105" s="169" t="s">
        <v>10</v>
      </c>
      <c r="E105" s="169" t="s">
        <v>10</v>
      </c>
      <c r="F105" s="169" t="s">
        <v>10</v>
      </c>
      <c r="G105" s="232" t="s">
        <v>10</v>
      </c>
    </row>
    <row r="106" spans="1:7" s="30" customFormat="1" x14ac:dyDescent="0.25">
      <c r="A106" s="50" t="s">
        <v>0</v>
      </c>
      <c r="B106" s="425" t="s">
        <v>48</v>
      </c>
      <c r="C106" s="425"/>
      <c r="D106" s="84">
        <f>+D25</f>
        <v>4234.92</v>
      </c>
      <c r="E106" s="84">
        <f>+E25</f>
        <v>4234.92</v>
      </c>
      <c r="F106" s="84">
        <f>+F25</f>
        <v>4817.37</v>
      </c>
      <c r="G106" s="66">
        <f>+G25</f>
        <v>4817.37</v>
      </c>
    </row>
    <row r="107" spans="1:7" s="30" customFormat="1" x14ac:dyDescent="0.25">
      <c r="A107" s="50" t="s">
        <v>2</v>
      </c>
      <c r="B107" s="425" t="s">
        <v>159</v>
      </c>
      <c r="C107" s="425"/>
      <c r="D107" s="84">
        <f>+D54</f>
        <v>3410.31</v>
      </c>
      <c r="E107" s="84">
        <f>+E54</f>
        <v>3410.31</v>
      </c>
      <c r="F107" s="84">
        <f>+F54</f>
        <v>3566.06</v>
      </c>
      <c r="G107" s="66">
        <f>+G54</f>
        <v>3566.06</v>
      </c>
    </row>
    <row r="108" spans="1:7" s="30" customFormat="1" x14ac:dyDescent="0.25">
      <c r="A108" s="50" t="s">
        <v>3</v>
      </c>
      <c r="B108" s="425" t="s">
        <v>157</v>
      </c>
      <c r="C108" s="425"/>
      <c r="D108" s="84">
        <f>D62</f>
        <v>302.8</v>
      </c>
      <c r="E108" s="84">
        <f>E62</f>
        <v>302.8</v>
      </c>
      <c r="F108" s="84">
        <f>F62</f>
        <v>344.44</v>
      </c>
      <c r="G108" s="66">
        <f>G62</f>
        <v>344.44</v>
      </c>
    </row>
    <row r="109" spans="1:7" s="30" customFormat="1" x14ac:dyDescent="0.25">
      <c r="A109" s="50" t="s">
        <v>5</v>
      </c>
      <c r="B109" s="425" t="s">
        <v>150</v>
      </c>
      <c r="C109" s="425"/>
      <c r="D109" s="84">
        <f>D82</f>
        <v>232.37</v>
      </c>
      <c r="E109" s="84">
        <f>E82</f>
        <v>232.37</v>
      </c>
      <c r="F109" s="84">
        <f>F82</f>
        <v>255.04</v>
      </c>
      <c r="G109" s="66">
        <f>G82</f>
        <v>255.04</v>
      </c>
    </row>
    <row r="110" spans="1:7" s="30" customFormat="1" x14ac:dyDescent="0.25">
      <c r="A110" s="50" t="s">
        <v>20</v>
      </c>
      <c r="B110" s="425" t="s">
        <v>158</v>
      </c>
      <c r="C110" s="425"/>
      <c r="D110" s="84">
        <f>D89</f>
        <v>1413.94</v>
      </c>
      <c r="E110" s="84">
        <f>E89</f>
        <v>1413.94</v>
      </c>
      <c r="F110" s="84">
        <f>F89</f>
        <v>1003.59</v>
      </c>
      <c r="G110" s="66">
        <f>G89</f>
        <v>1003.59</v>
      </c>
    </row>
    <row r="111" spans="1:7" s="30" customFormat="1" ht="15.75" customHeight="1" x14ac:dyDescent="0.25">
      <c r="A111" s="422" t="s">
        <v>160</v>
      </c>
      <c r="B111" s="426"/>
      <c r="C111" s="426"/>
      <c r="D111" s="108">
        <f>SUM(D106:D110)</f>
        <v>9594.34</v>
      </c>
      <c r="E111" s="108">
        <f>SUM(E106:E110)</f>
        <v>9594.34</v>
      </c>
      <c r="F111" s="108">
        <f>SUM(F106:F110)</f>
        <v>9986.5</v>
      </c>
      <c r="G111" s="212">
        <f>SUM(G106:G110)</f>
        <v>9986.5</v>
      </c>
    </row>
    <row r="112" spans="1:7" s="30" customFormat="1" x14ac:dyDescent="0.25">
      <c r="A112" s="314" t="s">
        <v>20</v>
      </c>
      <c r="B112" s="425" t="s">
        <v>161</v>
      </c>
      <c r="C112" s="425"/>
      <c r="D112" s="84">
        <f>+D104</f>
        <v>2712.56</v>
      </c>
      <c r="E112" s="84">
        <f>+E104</f>
        <v>2712.56</v>
      </c>
      <c r="F112" s="84">
        <f>+F104</f>
        <v>2823.45</v>
      </c>
      <c r="G112" s="66">
        <f>+G104</f>
        <v>2823.45</v>
      </c>
    </row>
    <row r="113" spans="1:7" s="30" customFormat="1" ht="16.5" customHeight="1" thickBot="1" x14ac:dyDescent="0.3">
      <c r="A113" s="410" t="s">
        <v>49</v>
      </c>
      <c r="B113" s="411"/>
      <c r="C113" s="411"/>
      <c r="D113" s="170">
        <f>+D111+D112</f>
        <v>12306.9</v>
      </c>
      <c r="E113" s="170">
        <f>+E111+E112</f>
        <v>12306.9</v>
      </c>
      <c r="F113" s="170">
        <f>+F111+F112</f>
        <v>12809.95</v>
      </c>
      <c r="G113" s="233">
        <f>+G111+G112</f>
        <v>12809.95</v>
      </c>
    </row>
    <row r="114" spans="1:7" x14ac:dyDescent="0.25">
      <c r="C114" s="31"/>
      <c r="D114" s="31"/>
      <c r="E114" s="31"/>
      <c r="F114" s="31"/>
      <c r="G114" s="33"/>
    </row>
    <row r="115" spans="1:7" x14ac:dyDescent="0.25">
      <c r="B115" s="28"/>
      <c r="C115" s="31"/>
      <c r="D115" s="31"/>
      <c r="E115" s="31"/>
      <c r="F115" s="31"/>
      <c r="G115" s="34"/>
    </row>
    <row r="116" spans="1:7" x14ac:dyDescent="0.25">
      <c r="B116" s="28"/>
      <c r="C116" s="31"/>
      <c r="D116" s="31"/>
      <c r="E116" s="31"/>
      <c r="F116" s="31"/>
      <c r="G116" s="34" t="s">
        <v>129</v>
      </c>
    </row>
    <row r="117" spans="1:7" x14ac:dyDescent="0.25">
      <c r="B117" s="28"/>
      <c r="C117" s="421"/>
      <c r="D117" s="421"/>
      <c r="E117" s="421"/>
      <c r="F117" s="421"/>
      <c r="G117" s="421"/>
    </row>
    <row r="118" spans="1:7" x14ac:dyDescent="0.25">
      <c r="B118" s="28"/>
      <c r="C118" s="31"/>
      <c r="D118" s="31"/>
      <c r="E118" s="31"/>
      <c r="F118" s="31"/>
      <c r="G118" s="35"/>
    </row>
    <row r="120" spans="1:7" x14ac:dyDescent="0.25">
      <c r="B120" s="36"/>
    </row>
    <row r="125" spans="1:7" x14ac:dyDescent="0.25">
      <c r="B125" s="28"/>
    </row>
  </sheetData>
  <mergeCells count="69">
    <mergeCell ref="B78:C78"/>
    <mergeCell ref="A81:B81"/>
    <mergeCell ref="A76:C76"/>
    <mergeCell ref="A62:C62"/>
    <mergeCell ref="B64:C64"/>
    <mergeCell ref="A55:C55"/>
    <mergeCell ref="A63:C63"/>
    <mergeCell ref="B73:C73"/>
    <mergeCell ref="C117:G117"/>
    <mergeCell ref="A95:A102"/>
    <mergeCell ref="A104:C104"/>
    <mergeCell ref="A105:C105"/>
    <mergeCell ref="B106:C106"/>
    <mergeCell ref="B107:C107"/>
    <mergeCell ref="B108:C108"/>
    <mergeCell ref="A111:C111"/>
    <mergeCell ref="B112:C112"/>
    <mergeCell ref="A113:C113"/>
    <mergeCell ref="B109:C109"/>
    <mergeCell ref="B110:C110"/>
    <mergeCell ref="A75:B75"/>
    <mergeCell ref="A50:C50"/>
    <mergeCell ref="B92:C92"/>
    <mergeCell ref="B86:C86"/>
    <mergeCell ref="B87:C87"/>
    <mergeCell ref="B88:C88"/>
    <mergeCell ref="B84:C84"/>
    <mergeCell ref="A89:C89"/>
    <mergeCell ref="A90:C90"/>
    <mergeCell ref="B85:C85"/>
    <mergeCell ref="A82:C82"/>
    <mergeCell ref="A77:C77"/>
    <mergeCell ref="A83:C83"/>
    <mergeCell ref="A91:C91"/>
    <mergeCell ref="A71:B71"/>
    <mergeCell ref="A54:C54"/>
    <mergeCell ref="B56:C56"/>
    <mergeCell ref="B32:C32"/>
    <mergeCell ref="A41:B41"/>
    <mergeCell ref="A49:C49"/>
    <mergeCell ref="B43:C43"/>
    <mergeCell ref="A42:C42"/>
    <mergeCell ref="D14:G14"/>
    <mergeCell ref="D15:G15"/>
    <mergeCell ref="B27:C27"/>
    <mergeCell ref="A30:B30"/>
    <mergeCell ref="A26:C26"/>
    <mergeCell ref="A16:C16"/>
    <mergeCell ref="B17:C17"/>
    <mergeCell ref="A25:C25"/>
    <mergeCell ref="B14:C14"/>
    <mergeCell ref="B15:C15"/>
    <mergeCell ref="C5:G5"/>
    <mergeCell ref="A1:G1"/>
    <mergeCell ref="A2:G2"/>
    <mergeCell ref="A3:G3"/>
    <mergeCell ref="C4:G4"/>
    <mergeCell ref="B12:C12"/>
    <mergeCell ref="B13:C13"/>
    <mergeCell ref="D12:G12"/>
    <mergeCell ref="D13:E13"/>
    <mergeCell ref="F13:G13"/>
    <mergeCell ref="A11:C11"/>
    <mergeCell ref="C6:G6"/>
    <mergeCell ref="C7:G7"/>
    <mergeCell ref="A8:G8"/>
    <mergeCell ref="A9:G9"/>
    <mergeCell ref="A10:G10"/>
    <mergeCell ref="D11:G11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5"/>
  <sheetViews>
    <sheetView view="pageBreakPreview" topLeftCell="A5" zoomScaleNormal="115" zoomScaleSheetLayoutView="100" workbookViewId="0">
      <selection activeCell="A24" sqref="A24:H24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4" width="15.7109375" style="32" customWidth="1"/>
    <col min="5" max="5" width="15.7109375" style="37" customWidth="1"/>
    <col min="6" max="16384" width="9.140625" style="28"/>
  </cols>
  <sheetData>
    <row r="1" spans="1:5" x14ac:dyDescent="0.25">
      <c r="A1" s="433"/>
      <c r="B1" s="434"/>
      <c r="C1" s="434"/>
      <c r="D1" s="434"/>
      <c r="E1" s="435"/>
    </row>
    <row r="2" spans="1:5" s="38" customFormat="1" ht="16.5" customHeight="1" x14ac:dyDescent="0.25">
      <c r="A2" s="407" t="s">
        <v>132</v>
      </c>
      <c r="B2" s="408"/>
      <c r="C2" s="408"/>
      <c r="D2" s="408"/>
      <c r="E2" s="409"/>
    </row>
    <row r="3" spans="1:5" s="38" customFormat="1" x14ac:dyDescent="0.25">
      <c r="A3" s="404" t="s">
        <v>129</v>
      </c>
      <c r="B3" s="405"/>
      <c r="C3" s="405"/>
      <c r="D3" s="405"/>
      <c r="E3" s="406"/>
    </row>
    <row r="4" spans="1:5" s="38" customFormat="1" ht="15" customHeight="1" x14ac:dyDescent="0.25">
      <c r="A4" s="40" t="s">
        <v>0</v>
      </c>
      <c r="B4" s="41" t="s">
        <v>1</v>
      </c>
      <c r="C4" s="461">
        <v>2024</v>
      </c>
      <c r="D4" s="462"/>
      <c r="E4" s="463"/>
    </row>
    <row r="5" spans="1:5" s="38" customFormat="1" ht="75" customHeight="1" x14ac:dyDescent="0.25">
      <c r="A5" s="40" t="s">
        <v>2</v>
      </c>
      <c r="B5" s="41" t="s">
        <v>140</v>
      </c>
      <c r="C5" s="458" t="s">
        <v>258</v>
      </c>
      <c r="D5" s="459"/>
      <c r="E5" s="460"/>
    </row>
    <row r="6" spans="1:5" s="38" customFormat="1" ht="15.75" customHeight="1" x14ac:dyDescent="0.25">
      <c r="A6" s="40" t="s">
        <v>3</v>
      </c>
      <c r="B6" s="41" t="s">
        <v>4</v>
      </c>
      <c r="C6" s="458" t="s">
        <v>261</v>
      </c>
      <c r="D6" s="459"/>
      <c r="E6" s="460"/>
    </row>
    <row r="7" spans="1:5" s="38" customFormat="1" x14ac:dyDescent="0.25">
      <c r="A7" s="40" t="s">
        <v>5</v>
      </c>
      <c r="B7" s="41" t="s">
        <v>143</v>
      </c>
      <c r="C7" s="458">
        <v>12</v>
      </c>
      <c r="D7" s="459"/>
      <c r="E7" s="460"/>
    </row>
    <row r="8" spans="1:5" s="38" customFormat="1" x14ac:dyDescent="0.25">
      <c r="A8" s="404" t="s">
        <v>6</v>
      </c>
      <c r="B8" s="405"/>
      <c r="C8" s="405"/>
      <c r="D8" s="405"/>
      <c r="E8" s="406"/>
    </row>
    <row r="9" spans="1:5" s="38" customFormat="1" x14ac:dyDescent="0.25">
      <c r="A9" s="404" t="s">
        <v>7</v>
      </c>
      <c r="B9" s="405"/>
      <c r="C9" s="405"/>
      <c r="D9" s="405"/>
      <c r="E9" s="406"/>
    </row>
    <row r="10" spans="1:5" s="38" customFormat="1" ht="15.75" customHeight="1" x14ac:dyDescent="0.25">
      <c r="A10" s="404" t="s">
        <v>8</v>
      </c>
      <c r="B10" s="405"/>
      <c r="C10" s="405"/>
      <c r="D10" s="405"/>
      <c r="E10" s="406"/>
    </row>
    <row r="11" spans="1:5" s="38" customFormat="1" ht="30" customHeight="1" x14ac:dyDescent="0.25">
      <c r="A11" s="440" t="s">
        <v>9</v>
      </c>
      <c r="B11" s="441"/>
      <c r="C11" s="441"/>
      <c r="D11" s="443" t="s">
        <v>10</v>
      </c>
      <c r="E11" s="444"/>
    </row>
    <row r="12" spans="1:5" s="38" customFormat="1" ht="60" customHeight="1" x14ac:dyDescent="0.25">
      <c r="A12" s="40">
        <v>1</v>
      </c>
      <c r="B12" s="42" t="s">
        <v>133</v>
      </c>
      <c r="C12" s="387" t="s">
        <v>259</v>
      </c>
      <c r="D12" s="388"/>
      <c r="E12" s="464"/>
    </row>
    <row r="13" spans="1:5" s="38" customFormat="1" ht="30" customHeight="1" x14ac:dyDescent="0.25">
      <c r="A13" s="40">
        <v>2</v>
      </c>
      <c r="B13" s="42" t="s">
        <v>11</v>
      </c>
      <c r="C13" s="447">
        <v>3325</v>
      </c>
      <c r="D13" s="447"/>
      <c r="E13" s="465"/>
    </row>
    <row r="14" spans="1:5" s="38" customFormat="1" ht="15.75" customHeight="1" x14ac:dyDescent="0.25">
      <c r="A14" s="40">
        <v>3</v>
      </c>
      <c r="B14" s="42" t="s">
        <v>12</v>
      </c>
      <c r="C14" s="387" t="s">
        <v>236</v>
      </c>
      <c r="D14" s="388"/>
      <c r="E14" s="464"/>
    </row>
    <row r="15" spans="1:5" s="38" customFormat="1" x14ac:dyDescent="0.25">
      <c r="A15" s="40">
        <v>4</v>
      </c>
      <c r="B15" s="43" t="s">
        <v>13</v>
      </c>
      <c r="C15" s="466"/>
      <c r="D15" s="466"/>
      <c r="E15" s="467"/>
    </row>
    <row r="16" spans="1:5" s="39" customFormat="1" ht="31.5" x14ac:dyDescent="0.25">
      <c r="A16" s="402" t="s">
        <v>14</v>
      </c>
      <c r="B16" s="403"/>
      <c r="C16" s="403"/>
      <c r="D16" s="252" t="s">
        <v>263</v>
      </c>
      <c r="E16" s="253" t="s">
        <v>264</v>
      </c>
    </row>
    <row r="17" spans="1:5" s="39" customFormat="1" x14ac:dyDescent="0.25">
      <c r="A17" s="44">
        <v>1</v>
      </c>
      <c r="B17" s="420" t="s">
        <v>15</v>
      </c>
      <c r="C17" s="420"/>
      <c r="D17" s="61" t="s">
        <v>10</v>
      </c>
      <c r="E17" s="62" t="s">
        <v>10</v>
      </c>
    </row>
    <row r="18" spans="1:5" s="38" customFormat="1" ht="15.75" customHeight="1" x14ac:dyDescent="0.25">
      <c r="A18" s="45" t="s">
        <v>0</v>
      </c>
      <c r="B18" s="46" t="s">
        <v>16</v>
      </c>
      <c r="C18" s="43"/>
      <c r="D18" s="81">
        <f>C13</f>
        <v>3325</v>
      </c>
      <c r="E18" s="63">
        <f>C13</f>
        <v>3325</v>
      </c>
    </row>
    <row r="19" spans="1:5" s="38" customFormat="1" ht="15.75" customHeight="1" x14ac:dyDescent="0.25">
      <c r="A19" s="45" t="s">
        <v>2</v>
      </c>
      <c r="B19" s="46" t="s">
        <v>17</v>
      </c>
      <c r="C19" s="82"/>
      <c r="D19" s="83"/>
      <c r="E19" s="64"/>
    </row>
    <row r="20" spans="1:5" s="38" customFormat="1" ht="15.75" customHeight="1" x14ac:dyDescent="0.25">
      <c r="A20" s="45" t="s">
        <v>3</v>
      </c>
      <c r="B20" s="46" t="s">
        <v>18</v>
      </c>
      <c r="C20" s="116" t="s">
        <v>243</v>
      </c>
      <c r="D20" s="83">
        <f>40%*1412</f>
        <v>564.79999999999995</v>
      </c>
      <c r="E20" s="64">
        <f>40%*1412</f>
        <v>564.79999999999995</v>
      </c>
    </row>
    <row r="21" spans="1:5" s="38" customFormat="1" ht="15.75" customHeight="1" x14ac:dyDescent="0.25">
      <c r="A21" s="45" t="s">
        <v>5</v>
      </c>
      <c r="B21" s="46" t="s">
        <v>19</v>
      </c>
      <c r="C21" s="82"/>
      <c r="D21" s="83"/>
      <c r="E21" s="64"/>
    </row>
    <row r="22" spans="1:5" s="38" customFormat="1" ht="15.75" customHeight="1" x14ac:dyDescent="0.25">
      <c r="A22" s="45" t="s">
        <v>20</v>
      </c>
      <c r="B22" s="46" t="s">
        <v>204</v>
      </c>
      <c r="C22" s="82"/>
      <c r="D22" s="83"/>
      <c r="E22" s="64"/>
    </row>
    <row r="23" spans="1:5" s="38" customFormat="1" x14ac:dyDescent="0.25">
      <c r="A23" s="45" t="s">
        <v>21</v>
      </c>
      <c r="B23" s="46" t="s">
        <v>138</v>
      </c>
      <c r="C23" s="49"/>
      <c r="D23" s="83"/>
      <c r="E23" s="64"/>
    </row>
    <row r="24" spans="1:5" s="38" customFormat="1" ht="15.75" customHeight="1" x14ac:dyDescent="0.25">
      <c r="A24" s="45" t="s">
        <v>22</v>
      </c>
      <c r="B24" s="47" t="s">
        <v>139</v>
      </c>
      <c r="C24" s="49"/>
      <c r="D24" s="83"/>
      <c r="E24" s="64"/>
    </row>
    <row r="25" spans="1:5" s="39" customFormat="1" ht="15.75" customHeight="1" x14ac:dyDescent="0.25">
      <c r="A25" s="400" t="s">
        <v>152</v>
      </c>
      <c r="B25" s="401"/>
      <c r="C25" s="401"/>
      <c r="D25" s="70">
        <f>SUM(D18:D24)</f>
        <v>3889.8</v>
      </c>
      <c r="E25" s="65">
        <f>SUM(E18:E24)</f>
        <v>3889.8</v>
      </c>
    </row>
    <row r="26" spans="1:5" s="39" customFormat="1" x14ac:dyDescent="0.25">
      <c r="A26" s="452" t="s">
        <v>51</v>
      </c>
      <c r="B26" s="453"/>
      <c r="C26" s="453"/>
      <c r="D26" s="453"/>
      <c r="E26" s="468"/>
    </row>
    <row r="27" spans="1:5" s="38" customFormat="1" x14ac:dyDescent="0.25">
      <c r="A27" s="52" t="s">
        <v>141</v>
      </c>
      <c r="B27" s="396" t="s">
        <v>205</v>
      </c>
      <c r="C27" s="412"/>
      <c r="D27" s="74" t="s">
        <v>10</v>
      </c>
      <c r="E27" s="188" t="s">
        <v>10</v>
      </c>
    </row>
    <row r="28" spans="1:5" s="38" customFormat="1" x14ac:dyDescent="0.25">
      <c r="A28" s="50" t="s">
        <v>0</v>
      </c>
      <c r="B28" s="51" t="s">
        <v>28</v>
      </c>
      <c r="C28" s="59">
        <f>1/12</f>
        <v>8.3299999999999999E-2</v>
      </c>
      <c r="D28" s="84">
        <f>(D25)*C28</f>
        <v>324.02</v>
      </c>
      <c r="E28" s="66">
        <f>(E25)*C28</f>
        <v>324.02</v>
      </c>
    </row>
    <row r="29" spans="1:5" s="38" customFormat="1" x14ac:dyDescent="0.25">
      <c r="A29" s="50" t="s">
        <v>2</v>
      </c>
      <c r="B29" s="51" t="s">
        <v>148</v>
      </c>
      <c r="C29" s="59">
        <v>0.1111</v>
      </c>
      <c r="D29" s="84">
        <f>(D25)*C29</f>
        <v>432.16</v>
      </c>
      <c r="E29" s="66">
        <f>(E25)*C29</f>
        <v>432.16</v>
      </c>
    </row>
    <row r="30" spans="1:5" x14ac:dyDescent="0.25">
      <c r="A30" s="418" t="s">
        <v>27</v>
      </c>
      <c r="B30" s="419"/>
      <c r="C30" s="99">
        <f>SUM(C28:C29)</f>
        <v>0.19439999999999999</v>
      </c>
      <c r="D30" s="86">
        <f>SUM(D28:D29)</f>
        <v>756.18</v>
      </c>
      <c r="E30" s="67">
        <f>SUM(E28:E29)</f>
        <v>756.18</v>
      </c>
    </row>
    <row r="31" spans="1:5" ht="32.25" customHeight="1" x14ac:dyDescent="0.25">
      <c r="A31" s="469" t="s">
        <v>190</v>
      </c>
      <c r="B31" s="470"/>
      <c r="C31" s="470"/>
      <c r="D31" s="470"/>
      <c r="E31" s="471"/>
    </row>
    <row r="32" spans="1:5" x14ac:dyDescent="0.25">
      <c r="A32" s="77" t="s">
        <v>141</v>
      </c>
      <c r="B32" s="413" t="s">
        <v>25</v>
      </c>
      <c r="C32" s="414"/>
      <c r="D32" s="75"/>
      <c r="E32" s="186"/>
    </row>
    <row r="33" spans="1:5" x14ac:dyDescent="0.25">
      <c r="A33" s="50" t="s">
        <v>0</v>
      </c>
      <c r="B33" s="87" t="s">
        <v>207</v>
      </c>
      <c r="C33" s="59">
        <v>0.2</v>
      </c>
      <c r="D33" s="84">
        <f t="shared" ref="D33:D40" si="0">($E$25+D$30)*C33</f>
        <v>929.2</v>
      </c>
      <c r="E33" s="66">
        <f t="shared" ref="E33:E40" si="1">($E$25+E$30)*C33</f>
        <v>929.2</v>
      </c>
    </row>
    <row r="34" spans="1:5" x14ac:dyDescent="0.25">
      <c r="A34" s="50" t="s">
        <v>2</v>
      </c>
      <c r="B34" s="87" t="s">
        <v>208</v>
      </c>
      <c r="C34" s="88">
        <v>1.4999999999999999E-2</v>
      </c>
      <c r="D34" s="84">
        <f t="shared" si="0"/>
        <v>69.69</v>
      </c>
      <c r="E34" s="66">
        <f t="shared" si="1"/>
        <v>69.69</v>
      </c>
    </row>
    <row r="35" spans="1:5" x14ac:dyDescent="0.25">
      <c r="A35" s="50" t="s">
        <v>3</v>
      </c>
      <c r="B35" s="87" t="s">
        <v>209</v>
      </c>
      <c r="C35" s="88">
        <v>0.01</v>
      </c>
      <c r="D35" s="84">
        <f t="shared" si="0"/>
        <v>46.46</v>
      </c>
      <c r="E35" s="66">
        <f t="shared" si="1"/>
        <v>46.46</v>
      </c>
    </row>
    <row r="36" spans="1:5" ht="31.5" x14ac:dyDescent="0.25">
      <c r="A36" s="50" t="s">
        <v>5</v>
      </c>
      <c r="B36" s="73" t="s">
        <v>210</v>
      </c>
      <c r="C36" s="88">
        <v>2E-3</v>
      </c>
      <c r="D36" s="84">
        <f t="shared" si="0"/>
        <v>9.2899999999999991</v>
      </c>
      <c r="E36" s="66">
        <f t="shared" si="1"/>
        <v>9.2899999999999991</v>
      </c>
    </row>
    <row r="37" spans="1:5" x14ac:dyDescent="0.25">
      <c r="A37" s="50" t="s">
        <v>20</v>
      </c>
      <c r="B37" s="87" t="s">
        <v>211</v>
      </c>
      <c r="C37" s="88">
        <v>2.5000000000000001E-2</v>
      </c>
      <c r="D37" s="84">
        <f t="shared" si="0"/>
        <v>116.15</v>
      </c>
      <c r="E37" s="66">
        <f t="shared" si="1"/>
        <v>116.15</v>
      </c>
    </row>
    <row r="38" spans="1:5" x14ac:dyDescent="0.25">
      <c r="A38" s="50" t="s">
        <v>21</v>
      </c>
      <c r="B38" s="115" t="s">
        <v>212</v>
      </c>
      <c r="C38" s="88">
        <v>0.08</v>
      </c>
      <c r="D38" s="84">
        <f t="shared" si="0"/>
        <v>371.68</v>
      </c>
      <c r="E38" s="66">
        <f t="shared" si="1"/>
        <v>371.68</v>
      </c>
    </row>
    <row r="39" spans="1:5" ht="47.25" x14ac:dyDescent="0.25">
      <c r="A39" s="50" t="s">
        <v>22</v>
      </c>
      <c r="B39" s="73" t="s">
        <v>213</v>
      </c>
      <c r="C39" s="88">
        <v>0.03</v>
      </c>
      <c r="D39" s="84">
        <f t="shared" si="0"/>
        <v>139.38</v>
      </c>
      <c r="E39" s="66">
        <f t="shared" si="1"/>
        <v>139.38</v>
      </c>
    </row>
    <row r="40" spans="1:5" x14ac:dyDescent="0.25">
      <c r="A40" s="50" t="s">
        <v>26</v>
      </c>
      <c r="B40" s="114" t="s">
        <v>214</v>
      </c>
      <c r="C40" s="88">
        <v>6.0000000000000001E-3</v>
      </c>
      <c r="D40" s="84">
        <f t="shared" si="0"/>
        <v>27.88</v>
      </c>
      <c r="E40" s="66">
        <f t="shared" si="1"/>
        <v>27.88</v>
      </c>
    </row>
    <row r="41" spans="1:5" s="30" customFormat="1" x14ac:dyDescent="0.25">
      <c r="A41" s="418" t="s">
        <v>27</v>
      </c>
      <c r="B41" s="419"/>
      <c r="C41" s="60">
        <f>SUM(C33:C40)</f>
        <v>0.36799999999999999</v>
      </c>
      <c r="D41" s="86">
        <f>SUM(D33:D40)</f>
        <v>1709.73</v>
      </c>
      <c r="E41" s="67">
        <f>SUM(E33:E40)</f>
        <v>1709.73</v>
      </c>
    </row>
    <row r="42" spans="1:5" s="30" customFormat="1" x14ac:dyDescent="0.25">
      <c r="A42" s="402" t="s">
        <v>173</v>
      </c>
      <c r="B42" s="403"/>
      <c r="C42" s="403"/>
      <c r="D42" s="403"/>
      <c r="E42" s="472"/>
    </row>
    <row r="43" spans="1:5" s="30" customFormat="1" x14ac:dyDescent="0.25">
      <c r="A43" s="80" t="s">
        <v>216</v>
      </c>
      <c r="B43" s="427" t="s">
        <v>217</v>
      </c>
      <c r="C43" s="428"/>
      <c r="D43" s="166"/>
      <c r="E43" s="97"/>
    </row>
    <row r="44" spans="1:5" s="30" customFormat="1" x14ac:dyDescent="0.25">
      <c r="A44" s="98" t="s">
        <v>0</v>
      </c>
      <c r="B44" s="56" t="s">
        <v>144</v>
      </c>
      <c r="C44" s="113"/>
      <c r="D44" s="109">
        <v>0</v>
      </c>
      <c r="E44" s="109">
        <v>0</v>
      </c>
    </row>
    <row r="45" spans="1:5" s="30" customFormat="1" x14ac:dyDescent="0.25">
      <c r="A45" s="48" t="s">
        <v>2</v>
      </c>
      <c r="B45" s="47" t="s">
        <v>191</v>
      </c>
      <c r="C45" s="79"/>
      <c r="D45" s="109">
        <v>0</v>
      </c>
      <c r="E45" s="109">
        <v>0</v>
      </c>
    </row>
    <row r="46" spans="1:5" s="30" customFormat="1" x14ac:dyDescent="0.25">
      <c r="A46" s="50" t="s">
        <v>3</v>
      </c>
      <c r="B46" s="51" t="s">
        <v>134</v>
      </c>
      <c r="C46" s="71"/>
      <c r="D46" s="109">
        <v>0</v>
      </c>
      <c r="E46" s="109">
        <v>0</v>
      </c>
    </row>
    <row r="47" spans="1:5" s="30" customFormat="1" x14ac:dyDescent="0.25">
      <c r="A47" s="50" t="s">
        <v>5</v>
      </c>
      <c r="B47" s="51" t="s">
        <v>135</v>
      </c>
      <c r="C47" s="59"/>
      <c r="D47" s="109">
        <v>0</v>
      </c>
      <c r="E47" s="109">
        <v>0</v>
      </c>
    </row>
    <row r="48" spans="1:5" s="30" customFormat="1" x14ac:dyDescent="0.25">
      <c r="A48" s="50" t="s">
        <v>20</v>
      </c>
      <c r="B48" s="51" t="s">
        <v>136</v>
      </c>
      <c r="C48" s="71"/>
      <c r="D48" s="109">
        <v>0</v>
      </c>
      <c r="E48" s="109">
        <v>0</v>
      </c>
    </row>
    <row r="49" spans="1:5" s="30" customFormat="1" ht="15.75" customHeight="1" x14ac:dyDescent="0.25">
      <c r="A49" s="181" t="s">
        <v>23</v>
      </c>
      <c r="B49" s="182"/>
      <c r="C49" s="92"/>
      <c r="D49" s="86">
        <f>SUM(D44:D48)</f>
        <v>0</v>
      </c>
      <c r="E49" s="67">
        <f>SUM(E44:E48)</f>
        <v>0</v>
      </c>
    </row>
    <row r="50" spans="1:5" s="30" customFormat="1" ht="15.75" customHeight="1" x14ac:dyDescent="0.25">
      <c r="A50" s="402" t="s">
        <v>224</v>
      </c>
      <c r="B50" s="403"/>
      <c r="C50" s="403"/>
      <c r="D50" s="403"/>
      <c r="E50" s="472"/>
    </row>
    <row r="51" spans="1:5" s="30" customFormat="1" ht="15.75" customHeight="1" x14ac:dyDescent="0.25">
      <c r="A51" s="44" t="s">
        <v>141</v>
      </c>
      <c r="B51" s="110" t="s">
        <v>145</v>
      </c>
      <c r="C51" s="57"/>
      <c r="D51" s="69">
        <f>D30</f>
        <v>756.18</v>
      </c>
      <c r="E51" s="209">
        <f>E30</f>
        <v>756.18</v>
      </c>
    </row>
    <row r="52" spans="1:5" s="30" customFormat="1" ht="15.75" customHeight="1" x14ac:dyDescent="0.25">
      <c r="A52" s="44" t="s">
        <v>215</v>
      </c>
      <c r="B52" s="110" t="s">
        <v>146</v>
      </c>
      <c r="C52" s="57"/>
      <c r="D52" s="69">
        <f>D41</f>
        <v>1709.73</v>
      </c>
      <c r="E52" s="209">
        <f>E41</f>
        <v>1709.73</v>
      </c>
    </row>
    <row r="53" spans="1:5" s="30" customFormat="1" ht="15.75" customHeight="1" x14ac:dyDescent="0.25">
      <c r="A53" s="44" t="s">
        <v>216</v>
      </c>
      <c r="B53" s="110" t="s">
        <v>147</v>
      </c>
      <c r="C53" s="57"/>
      <c r="D53" s="69">
        <f>D49</f>
        <v>0</v>
      </c>
      <c r="E53" s="209">
        <f>E49</f>
        <v>0</v>
      </c>
    </row>
    <row r="54" spans="1:5" s="30" customFormat="1" ht="15.75" customHeight="1" x14ac:dyDescent="0.25">
      <c r="A54" s="400" t="s">
        <v>153</v>
      </c>
      <c r="B54" s="401"/>
      <c r="C54" s="401"/>
      <c r="D54" s="70">
        <f>SUM(D51:D53)</f>
        <v>2465.91</v>
      </c>
      <c r="E54" s="65">
        <f>SUM(E51:E53)</f>
        <v>2465.91</v>
      </c>
    </row>
    <row r="55" spans="1:5" s="30" customFormat="1" ht="15.75" customHeight="1" x14ac:dyDescent="0.25">
      <c r="A55" s="452" t="s">
        <v>162</v>
      </c>
      <c r="B55" s="453"/>
      <c r="C55" s="453"/>
      <c r="D55" s="453"/>
      <c r="E55" s="468"/>
    </row>
    <row r="56" spans="1:5" s="30" customFormat="1" ht="15.75" customHeight="1" x14ac:dyDescent="0.25">
      <c r="A56" s="52" t="s">
        <v>200</v>
      </c>
      <c r="B56" s="396" t="s">
        <v>32</v>
      </c>
      <c r="C56" s="397"/>
      <c r="D56" s="74" t="s">
        <v>10</v>
      </c>
      <c r="E56" s="188" t="s">
        <v>10</v>
      </c>
    </row>
    <row r="57" spans="1:5" s="30" customFormat="1" ht="15.75" customHeight="1" x14ac:dyDescent="0.25">
      <c r="A57" s="50" t="s">
        <v>0</v>
      </c>
      <c r="B57" s="51" t="s">
        <v>33</v>
      </c>
      <c r="C57" s="59">
        <v>4.5999999999999999E-3</v>
      </c>
      <c r="D57" s="84">
        <f>D$25*C57</f>
        <v>17.89</v>
      </c>
      <c r="E57" s="66">
        <f>E$25*C57</f>
        <v>17.89</v>
      </c>
    </row>
    <row r="58" spans="1:5" s="30" customFormat="1" ht="15.75" customHeight="1" x14ac:dyDescent="0.25">
      <c r="A58" s="50" t="s">
        <v>2</v>
      </c>
      <c r="B58" s="51" t="s">
        <v>34</v>
      </c>
      <c r="C58" s="59">
        <v>4.0000000000000002E-4</v>
      </c>
      <c r="D58" s="84">
        <f>D$25*C58</f>
        <v>1.56</v>
      </c>
      <c r="E58" s="66">
        <f>E$25*C58</f>
        <v>1.56</v>
      </c>
    </row>
    <row r="59" spans="1:5" s="30" customFormat="1" ht="15.75" customHeight="1" x14ac:dyDescent="0.25">
      <c r="A59" s="50" t="s">
        <v>3</v>
      </c>
      <c r="B59" s="54" t="s">
        <v>35</v>
      </c>
      <c r="C59" s="59">
        <v>1.9400000000000001E-2</v>
      </c>
      <c r="D59" s="84">
        <f>D$25*C59</f>
        <v>75.459999999999994</v>
      </c>
      <c r="E59" s="66">
        <f>E$25*C59</f>
        <v>75.459999999999994</v>
      </c>
    </row>
    <row r="60" spans="1:5" s="30" customFormat="1" ht="30.75" customHeight="1" x14ac:dyDescent="0.25">
      <c r="A60" s="50" t="s">
        <v>5</v>
      </c>
      <c r="B60" s="51" t="s">
        <v>174</v>
      </c>
      <c r="C60" s="59">
        <v>7.1000000000000004E-3</v>
      </c>
      <c r="D60" s="84">
        <f>D$25*C60</f>
        <v>27.62</v>
      </c>
      <c r="E60" s="66">
        <f>E$25*C60</f>
        <v>27.62</v>
      </c>
    </row>
    <row r="61" spans="1:5" s="30" customFormat="1" ht="15.75" customHeight="1" x14ac:dyDescent="0.25">
      <c r="A61" s="50" t="s">
        <v>20</v>
      </c>
      <c r="B61" s="51" t="s">
        <v>149</v>
      </c>
      <c r="C61" s="59">
        <v>0.04</v>
      </c>
      <c r="D61" s="84">
        <f>D$25*C61</f>
        <v>155.59</v>
      </c>
      <c r="E61" s="66">
        <f>E$25*C61</f>
        <v>155.59</v>
      </c>
    </row>
    <row r="62" spans="1:5" s="30" customFormat="1" x14ac:dyDescent="0.25">
      <c r="A62" s="400" t="s">
        <v>154</v>
      </c>
      <c r="B62" s="401"/>
      <c r="C62" s="401"/>
      <c r="D62" s="70">
        <f>SUM(D57:D61)</f>
        <v>278.12</v>
      </c>
      <c r="E62" s="65">
        <f>SUM(E57:E61)</f>
        <v>278.12</v>
      </c>
    </row>
    <row r="63" spans="1:5" s="30" customFormat="1" x14ac:dyDescent="0.25">
      <c r="A63" s="452" t="s">
        <v>163</v>
      </c>
      <c r="B63" s="453"/>
      <c r="C63" s="453"/>
      <c r="D63" s="453"/>
      <c r="E63" s="468"/>
    </row>
    <row r="64" spans="1:5" s="30" customFormat="1" x14ac:dyDescent="0.25">
      <c r="A64" s="52" t="s">
        <v>199</v>
      </c>
      <c r="B64" s="430" t="s">
        <v>198</v>
      </c>
      <c r="C64" s="430"/>
      <c r="D64" s="74" t="s">
        <v>10</v>
      </c>
      <c r="E64" s="188" t="s">
        <v>10</v>
      </c>
    </row>
    <row r="65" spans="1:5" s="30" customFormat="1" x14ac:dyDescent="0.25">
      <c r="A65" s="50" t="s">
        <v>0</v>
      </c>
      <c r="B65" s="51" t="s">
        <v>192</v>
      </c>
      <c r="C65" s="59">
        <v>9.2999999999999992E-3</v>
      </c>
      <c r="D65" s="84">
        <f t="shared" ref="D65:D70" si="2">(D$25+D$54+D$62+D$85)*C65</f>
        <v>62.04</v>
      </c>
      <c r="E65" s="66">
        <f t="shared" ref="E65:E70" si="3">(E$25+E$54+E$62+E$85)*C65</f>
        <v>62.04</v>
      </c>
    </row>
    <row r="66" spans="1:5" s="30" customFormat="1" x14ac:dyDescent="0.25">
      <c r="A66" s="50" t="s">
        <v>2</v>
      </c>
      <c r="B66" s="51" t="s">
        <v>193</v>
      </c>
      <c r="C66" s="59">
        <v>1.66E-2</v>
      </c>
      <c r="D66" s="84">
        <f t="shared" si="2"/>
        <v>110.73</v>
      </c>
      <c r="E66" s="66">
        <f t="shared" si="3"/>
        <v>110.73</v>
      </c>
    </row>
    <row r="67" spans="1:5" s="30" customFormat="1" x14ac:dyDescent="0.25">
      <c r="A67" s="50" t="s">
        <v>3</v>
      </c>
      <c r="B67" s="51" t="s">
        <v>194</v>
      </c>
      <c r="C67" s="59">
        <v>2.0000000000000001E-4</v>
      </c>
      <c r="D67" s="84">
        <f t="shared" si="2"/>
        <v>1.33</v>
      </c>
      <c r="E67" s="66">
        <f t="shared" si="3"/>
        <v>1.33</v>
      </c>
    </row>
    <row r="68" spans="1:5" s="30" customFormat="1" x14ac:dyDescent="0.25">
      <c r="A68" s="50" t="s">
        <v>5</v>
      </c>
      <c r="B68" s="51" t="s">
        <v>195</v>
      </c>
      <c r="C68" s="59">
        <v>2.7000000000000001E-3</v>
      </c>
      <c r="D68" s="84">
        <f t="shared" si="2"/>
        <v>18.010000000000002</v>
      </c>
      <c r="E68" s="66">
        <f t="shared" si="3"/>
        <v>18.010000000000002</v>
      </c>
    </row>
    <row r="69" spans="1:5" s="30" customFormat="1" x14ac:dyDescent="0.25">
      <c r="A69" s="50" t="s">
        <v>20</v>
      </c>
      <c r="B69" s="51" t="s">
        <v>196</v>
      </c>
      <c r="C69" s="59">
        <v>2.9999999999999997E-4</v>
      </c>
      <c r="D69" s="84">
        <f t="shared" si="2"/>
        <v>2</v>
      </c>
      <c r="E69" s="66">
        <f t="shared" si="3"/>
        <v>2</v>
      </c>
    </row>
    <row r="70" spans="1:5" s="30" customFormat="1" ht="15.75" customHeight="1" x14ac:dyDescent="0.25">
      <c r="A70" s="50" t="s">
        <v>21</v>
      </c>
      <c r="B70" s="55" t="s">
        <v>197</v>
      </c>
      <c r="C70" s="59">
        <v>0</v>
      </c>
      <c r="D70" s="84">
        <f t="shared" si="2"/>
        <v>0</v>
      </c>
      <c r="E70" s="66">
        <f t="shared" si="3"/>
        <v>0</v>
      </c>
    </row>
    <row r="71" spans="1:5" s="30" customFormat="1" x14ac:dyDescent="0.25">
      <c r="A71" s="418" t="s">
        <v>29</v>
      </c>
      <c r="B71" s="419"/>
      <c r="C71" s="60">
        <f>SUM(C65:C70)</f>
        <v>2.9100000000000001E-2</v>
      </c>
      <c r="D71" s="86">
        <f>SUM(D65:D70)</f>
        <v>194.11</v>
      </c>
      <c r="E71" s="67">
        <f>SUM(E65:E70)</f>
        <v>194.11</v>
      </c>
    </row>
    <row r="72" spans="1:5" s="30" customFormat="1" x14ac:dyDescent="0.25">
      <c r="A72" s="44"/>
      <c r="B72" s="57"/>
      <c r="C72" s="100"/>
      <c r="D72" s="100"/>
      <c r="E72" s="63"/>
    </row>
    <row r="73" spans="1:5" s="30" customFormat="1" x14ac:dyDescent="0.25">
      <c r="A73" s="44"/>
      <c r="B73" s="420" t="s">
        <v>201</v>
      </c>
      <c r="C73" s="429"/>
      <c r="D73" s="74" t="s">
        <v>10</v>
      </c>
      <c r="E73" s="188" t="s">
        <v>10</v>
      </c>
    </row>
    <row r="74" spans="1:5" s="30" customFormat="1" x14ac:dyDescent="0.25">
      <c r="A74" s="50" t="s">
        <v>0</v>
      </c>
      <c r="B74" s="51" t="s">
        <v>202</v>
      </c>
      <c r="C74" s="59">
        <v>0</v>
      </c>
      <c r="D74" s="84">
        <f>(D$25+D$54+D$62)*C74</f>
        <v>0</v>
      </c>
      <c r="E74" s="66">
        <f>(E$25+E$54+E$62)*C74</f>
        <v>0</v>
      </c>
    </row>
    <row r="75" spans="1:5" s="30" customFormat="1" ht="15.75" customHeight="1" x14ac:dyDescent="0.25">
      <c r="A75" s="418" t="s">
        <v>27</v>
      </c>
      <c r="B75" s="419"/>
      <c r="C75" s="101">
        <f>C74</f>
        <v>0</v>
      </c>
      <c r="D75" s="86">
        <f>D74</f>
        <v>0</v>
      </c>
      <c r="E75" s="67">
        <f>E74</f>
        <v>0</v>
      </c>
    </row>
    <row r="76" spans="1:5" s="30" customFormat="1" ht="15.75" customHeight="1" x14ac:dyDescent="0.25">
      <c r="A76" s="402" t="s">
        <v>30</v>
      </c>
      <c r="B76" s="403"/>
      <c r="C76" s="403"/>
      <c r="D76" s="403"/>
      <c r="E76" s="472"/>
    </row>
    <row r="77" spans="1:5" s="30" customFormat="1" ht="15.75" customHeight="1" x14ac:dyDescent="0.25">
      <c r="A77" s="454" t="s">
        <v>203</v>
      </c>
      <c r="B77" s="455"/>
      <c r="C77" s="455"/>
      <c r="D77" s="455"/>
      <c r="E77" s="473"/>
    </row>
    <row r="78" spans="1:5" s="30" customFormat="1" ht="15.75" customHeight="1" x14ac:dyDescent="0.25">
      <c r="A78" s="52">
        <v>4</v>
      </c>
      <c r="B78" s="396" t="s">
        <v>31</v>
      </c>
      <c r="C78" s="397"/>
      <c r="D78" s="74" t="s">
        <v>10</v>
      </c>
      <c r="E78" s="188" t="s">
        <v>10</v>
      </c>
    </row>
    <row r="79" spans="1:5" s="30" customFormat="1" ht="15.75" customHeight="1" x14ac:dyDescent="0.25">
      <c r="A79" s="50" t="s">
        <v>199</v>
      </c>
      <c r="B79" s="55" t="s">
        <v>198</v>
      </c>
      <c r="C79" s="59">
        <f>C71</f>
        <v>2.9100000000000001E-2</v>
      </c>
      <c r="D79" s="84">
        <f>D71</f>
        <v>194.11</v>
      </c>
      <c r="E79" s="66">
        <f>E71</f>
        <v>194.11</v>
      </c>
    </row>
    <row r="80" spans="1:5" s="30" customFormat="1" ht="15.75" customHeight="1" x14ac:dyDescent="0.25">
      <c r="A80" s="50" t="s">
        <v>221</v>
      </c>
      <c r="B80" s="55" t="s">
        <v>201</v>
      </c>
      <c r="C80" s="59">
        <v>0</v>
      </c>
      <c r="D80" s="84">
        <f>(D$25+D$54+D$62)*C80</f>
        <v>0</v>
      </c>
      <c r="E80" s="66">
        <f>(E$25+E$54+E$62)*C80</f>
        <v>0</v>
      </c>
    </row>
    <row r="81" spans="1:5" s="30" customFormat="1" ht="15.75" customHeight="1" x14ac:dyDescent="0.25">
      <c r="A81" s="418" t="s">
        <v>27</v>
      </c>
      <c r="B81" s="419"/>
      <c r="C81" s="99">
        <f>SUM(C79:C80)</f>
        <v>2.9100000000000001E-2</v>
      </c>
      <c r="D81" s="86">
        <f>SUM(D79:D80)</f>
        <v>194.11</v>
      </c>
      <c r="E81" s="67">
        <f>SUM(E79:E80)</f>
        <v>194.11</v>
      </c>
    </row>
    <row r="82" spans="1:5" s="30" customFormat="1" ht="15.75" customHeight="1" x14ac:dyDescent="0.25">
      <c r="A82" s="400" t="s">
        <v>155</v>
      </c>
      <c r="B82" s="401"/>
      <c r="C82" s="401"/>
      <c r="D82" s="70">
        <f>SUM(D75+D81)</f>
        <v>194.11</v>
      </c>
      <c r="E82" s="65">
        <f>SUM(E75+E81)</f>
        <v>194.11</v>
      </c>
    </row>
    <row r="83" spans="1:5" s="30" customFormat="1" ht="15.75" customHeight="1" x14ac:dyDescent="0.25">
      <c r="A83" s="452" t="s">
        <v>164</v>
      </c>
      <c r="B83" s="453"/>
      <c r="C83" s="453"/>
      <c r="D83" s="453"/>
      <c r="E83" s="468"/>
    </row>
    <row r="84" spans="1:5" s="30" customFormat="1" ht="15.75" customHeight="1" x14ac:dyDescent="0.25">
      <c r="A84" s="52">
        <v>5</v>
      </c>
      <c r="B84" s="396" t="s">
        <v>24</v>
      </c>
      <c r="C84" s="397"/>
      <c r="D84" s="74" t="s">
        <v>10</v>
      </c>
      <c r="E84" s="188" t="s">
        <v>10</v>
      </c>
    </row>
    <row r="85" spans="1:5" s="30" customFormat="1" ht="15.75" customHeight="1" x14ac:dyDescent="0.25">
      <c r="A85" s="48" t="s">
        <v>0</v>
      </c>
      <c r="B85" s="395" t="s">
        <v>222</v>
      </c>
      <c r="C85" s="395"/>
      <c r="D85" s="84">
        <f>Uniformes!H7</f>
        <v>36.619999999999997</v>
      </c>
      <c r="E85" s="66">
        <f>Uniformes!H7</f>
        <v>36.619999999999997</v>
      </c>
    </row>
    <row r="86" spans="1:5" s="30" customFormat="1" ht="15.75" customHeight="1" x14ac:dyDescent="0.25">
      <c r="A86" s="48" t="s">
        <v>2</v>
      </c>
      <c r="B86" s="395" t="s">
        <v>223</v>
      </c>
      <c r="C86" s="395"/>
      <c r="D86" s="84">
        <f>Materiais!H18</f>
        <v>64.819999999999993</v>
      </c>
      <c r="E86" s="66">
        <f>Materiais!H19</f>
        <v>64.819999999999993</v>
      </c>
    </row>
    <row r="87" spans="1:5" s="30" customFormat="1" ht="15.75" customHeight="1" x14ac:dyDescent="0.25">
      <c r="A87" s="48" t="s">
        <v>3</v>
      </c>
      <c r="B87" s="395" t="s">
        <v>187</v>
      </c>
      <c r="C87" s="395"/>
      <c r="D87" s="81">
        <f>Equipamentos!H18</f>
        <v>1312.5</v>
      </c>
      <c r="E87" s="63">
        <f>Equipamentos!H19</f>
        <v>1312.5</v>
      </c>
    </row>
    <row r="88" spans="1:5" s="30" customFormat="1" ht="15.75" customHeight="1" x14ac:dyDescent="0.25">
      <c r="A88" s="48" t="s">
        <v>5</v>
      </c>
      <c r="B88" s="395" t="s">
        <v>137</v>
      </c>
      <c r="C88" s="395"/>
      <c r="D88" s="84">
        <v>0</v>
      </c>
      <c r="E88" s="66">
        <v>0</v>
      </c>
    </row>
    <row r="89" spans="1:5" s="30" customFormat="1" ht="15.75" customHeight="1" x14ac:dyDescent="0.25">
      <c r="A89" s="400" t="s">
        <v>156</v>
      </c>
      <c r="B89" s="401"/>
      <c r="C89" s="401"/>
      <c r="D89" s="70">
        <f>SUM(D85:D88)</f>
        <v>1413.94</v>
      </c>
      <c r="E89" s="65">
        <f>SUM(E85:E88)</f>
        <v>1413.94</v>
      </c>
    </row>
    <row r="90" spans="1:5" s="30" customFormat="1" ht="30" customHeight="1" x14ac:dyDescent="0.25">
      <c r="A90" s="398" t="s">
        <v>225</v>
      </c>
      <c r="B90" s="399"/>
      <c r="C90" s="399"/>
      <c r="D90" s="167">
        <f>D89+D82+D62+D54+D25</f>
        <v>8241.8799999999992</v>
      </c>
      <c r="E90" s="230">
        <f>E89+E82+E62+E54+E25</f>
        <v>8241.8799999999992</v>
      </c>
    </row>
    <row r="91" spans="1:5" s="30" customFormat="1" ht="19.5" customHeight="1" x14ac:dyDescent="0.25">
      <c r="A91" s="452" t="s">
        <v>165</v>
      </c>
      <c r="B91" s="453"/>
      <c r="C91" s="453"/>
      <c r="D91" s="453"/>
      <c r="E91" s="468"/>
    </row>
    <row r="92" spans="1:5" s="30" customFormat="1" x14ac:dyDescent="0.25">
      <c r="A92" s="52">
        <v>6</v>
      </c>
      <c r="B92" s="396" t="s">
        <v>38</v>
      </c>
      <c r="C92" s="412"/>
      <c r="D92" s="74" t="s">
        <v>10</v>
      </c>
      <c r="E92" s="188" t="s">
        <v>10</v>
      </c>
    </row>
    <row r="93" spans="1:5" s="30" customFormat="1" x14ac:dyDescent="0.25">
      <c r="A93" s="52" t="s">
        <v>0</v>
      </c>
      <c r="B93" s="51" t="s">
        <v>39</v>
      </c>
      <c r="C93" s="59">
        <v>0.03</v>
      </c>
      <c r="D93" s="84">
        <f>+D90*C93</f>
        <v>247.26</v>
      </c>
      <c r="E93" s="66">
        <f>+E90*C93</f>
        <v>247.26</v>
      </c>
    </row>
    <row r="94" spans="1:5" s="30" customFormat="1" x14ac:dyDescent="0.25">
      <c r="A94" s="52" t="s">
        <v>2</v>
      </c>
      <c r="B94" s="51" t="s">
        <v>40</v>
      </c>
      <c r="C94" s="59">
        <v>6.7900000000000002E-2</v>
      </c>
      <c r="D94" s="84">
        <f>C94*(+D90+D93)</f>
        <v>576.41</v>
      </c>
      <c r="E94" s="66">
        <f>C94*(+E90+E93)</f>
        <v>576.41</v>
      </c>
    </row>
    <row r="95" spans="1:5" s="30" customFormat="1" ht="31.5" x14ac:dyDescent="0.25">
      <c r="A95" s="422" t="s">
        <v>3</v>
      </c>
      <c r="B95" s="51" t="s">
        <v>50</v>
      </c>
      <c r="C95" s="59">
        <f>1-C103</f>
        <v>0.85750000000000004</v>
      </c>
      <c r="D95" s="84">
        <f>+D90+D93+D94</f>
        <v>9065.5499999999993</v>
      </c>
      <c r="E95" s="66">
        <f>+E90+E93+E94</f>
        <v>9065.5499999999993</v>
      </c>
    </row>
    <row r="96" spans="1:5" s="30" customFormat="1" x14ac:dyDescent="0.25">
      <c r="A96" s="422"/>
      <c r="B96" s="55" t="s">
        <v>41</v>
      </c>
      <c r="C96" s="95"/>
      <c r="D96" s="168">
        <f>+D95/C95</f>
        <v>10572.07</v>
      </c>
      <c r="E96" s="231">
        <f>+E95/C95</f>
        <v>10572.07</v>
      </c>
    </row>
    <row r="97" spans="1:5" s="30" customFormat="1" x14ac:dyDescent="0.25">
      <c r="A97" s="422"/>
      <c r="B97" s="55" t="s">
        <v>42</v>
      </c>
      <c r="C97" s="72"/>
      <c r="D97" s="84"/>
      <c r="E97" s="66"/>
    </row>
    <row r="98" spans="1:5" s="30" customFormat="1" x14ac:dyDescent="0.25">
      <c r="A98" s="422"/>
      <c r="B98" s="51" t="s">
        <v>130</v>
      </c>
      <c r="C98" s="59">
        <v>1.6500000000000001E-2</v>
      </c>
      <c r="D98" s="84">
        <f>+D96*C98</f>
        <v>174.44</v>
      </c>
      <c r="E98" s="66">
        <f>+E96*C98</f>
        <v>174.44</v>
      </c>
    </row>
    <row r="99" spans="1:5" s="30" customFormat="1" x14ac:dyDescent="0.25">
      <c r="A99" s="422"/>
      <c r="B99" s="51" t="s">
        <v>131</v>
      </c>
      <c r="C99" s="59">
        <v>7.5999999999999998E-2</v>
      </c>
      <c r="D99" s="84">
        <f>+D96*C99</f>
        <v>803.48</v>
      </c>
      <c r="E99" s="66">
        <f>+E96*C99</f>
        <v>803.48</v>
      </c>
    </row>
    <row r="100" spans="1:5" s="30" customFormat="1" x14ac:dyDescent="0.25">
      <c r="A100" s="422"/>
      <c r="B100" s="53" t="s">
        <v>43</v>
      </c>
      <c r="C100" s="95"/>
      <c r="D100" s="84"/>
      <c r="E100" s="66"/>
    </row>
    <row r="101" spans="1:5" s="30" customFormat="1" x14ac:dyDescent="0.25">
      <c r="A101" s="422"/>
      <c r="B101" s="53" t="s">
        <v>44</v>
      </c>
      <c r="C101" s="102"/>
      <c r="D101" s="84"/>
      <c r="E101" s="66"/>
    </row>
    <row r="102" spans="1:5" s="30" customFormat="1" x14ac:dyDescent="0.25">
      <c r="A102" s="422"/>
      <c r="B102" s="51" t="s">
        <v>142</v>
      </c>
      <c r="C102" s="59">
        <v>0.05</v>
      </c>
      <c r="D102" s="84">
        <f>+D96*C102</f>
        <v>528.6</v>
      </c>
      <c r="E102" s="66">
        <f>+E96*C102</f>
        <v>528.6</v>
      </c>
    </row>
    <row r="103" spans="1:5" s="30" customFormat="1" x14ac:dyDescent="0.25">
      <c r="A103" s="52"/>
      <c r="B103" s="106" t="s">
        <v>45</v>
      </c>
      <c r="C103" s="107">
        <f>SUM(C98:C102)</f>
        <v>0.14249999999999999</v>
      </c>
      <c r="D103" s="108">
        <f>SUM(D98:D102)</f>
        <v>1506.52</v>
      </c>
      <c r="E103" s="212">
        <f>SUM(E98:E102)</f>
        <v>1506.52</v>
      </c>
    </row>
    <row r="104" spans="1:5" s="30" customFormat="1" ht="15.75" customHeight="1" x14ac:dyDescent="0.25">
      <c r="A104" s="418" t="s">
        <v>46</v>
      </c>
      <c r="B104" s="419"/>
      <c r="C104" s="419"/>
      <c r="D104" s="86">
        <f>+D93+D94+D103</f>
        <v>2330.19</v>
      </c>
      <c r="E104" s="67">
        <f>+E93+E94+E103</f>
        <v>2330.19</v>
      </c>
    </row>
    <row r="105" spans="1:5" s="30" customFormat="1" ht="15.75" customHeight="1" x14ac:dyDescent="0.25">
      <c r="A105" s="456" t="s">
        <v>47</v>
      </c>
      <c r="B105" s="457"/>
      <c r="C105" s="457"/>
      <c r="D105" s="169" t="s">
        <v>10</v>
      </c>
      <c r="E105" s="232" t="s">
        <v>10</v>
      </c>
    </row>
    <row r="106" spans="1:5" s="30" customFormat="1" x14ac:dyDescent="0.25">
      <c r="A106" s="50" t="s">
        <v>0</v>
      </c>
      <c r="B106" s="425" t="s">
        <v>48</v>
      </c>
      <c r="C106" s="425"/>
      <c r="D106" s="84">
        <f>+D25</f>
        <v>3889.8</v>
      </c>
      <c r="E106" s="66">
        <f>+E25</f>
        <v>3889.8</v>
      </c>
    </row>
    <row r="107" spans="1:5" s="30" customFormat="1" x14ac:dyDescent="0.25">
      <c r="A107" s="50" t="s">
        <v>2</v>
      </c>
      <c r="B107" s="425" t="s">
        <v>159</v>
      </c>
      <c r="C107" s="425"/>
      <c r="D107" s="84">
        <f>+D54</f>
        <v>2465.91</v>
      </c>
      <c r="E107" s="66">
        <f>+E54</f>
        <v>2465.91</v>
      </c>
    </row>
    <row r="108" spans="1:5" s="30" customFormat="1" x14ac:dyDescent="0.25">
      <c r="A108" s="50" t="s">
        <v>3</v>
      </c>
      <c r="B108" s="425" t="s">
        <v>157</v>
      </c>
      <c r="C108" s="425"/>
      <c r="D108" s="84">
        <f>D62</f>
        <v>278.12</v>
      </c>
      <c r="E108" s="66">
        <f>E62</f>
        <v>278.12</v>
      </c>
    </row>
    <row r="109" spans="1:5" s="30" customFormat="1" x14ac:dyDescent="0.25">
      <c r="A109" s="50" t="s">
        <v>5</v>
      </c>
      <c r="B109" s="425" t="s">
        <v>150</v>
      </c>
      <c r="C109" s="425"/>
      <c r="D109" s="84">
        <f>D82</f>
        <v>194.11</v>
      </c>
      <c r="E109" s="66">
        <f>E82</f>
        <v>194.11</v>
      </c>
    </row>
    <row r="110" spans="1:5" s="30" customFormat="1" x14ac:dyDescent="0.25">
      <c r="A110" s="50" t="s">
        <v>20</v>
      </c>
      <c r="B110" s="425" t="s">
        <v>158</v>
      </c>
      <c r="C110" s="425"/>
      <c r="D110" s="84">
        <f>D89</f>
        <v>1413.94</v>
      </c>
      <c r="E110" s="66">
        <f>E89</f>
        <v>1413.94</v>
      </c>
    </row>
    <row r="111" spans="1:5" s="30" customFormat="1" ht="15.75" customHeight="1" x14ac:dyDescent="0.25">
      <c r="A111" s="422" t="s">
        <v>160</v>
      </c>
      <c r="B111" s="426"/>
      <c r="C111" s="426"/>
      <c r="D111" s="108">
        <f>SUM(D106:D110)</f>
        <v>8241.8799999999992</v>
      </c>
      <c r="E111" s="212">
        <f>SUM(E106:E110)</f>
        <v>8241.8799999999992</v>
      </c>
    </row>
    <row r="112" spans="1:5" s="30" customFormat="1" x14ac:dyDescent="0.25">
      <c r="A112" s="52" t="s">
        <v>20</v>
      </c>
      <c r="B112" s="425" t="s">
        <v>161</v>
      </c>
      <c r="C112" s="425"/>
      <c r="D112" s="84">
        <f>+D104</f>
        <v>2330.19</v>
      </c>
      <c r="E112" s="66">
        <f>+E104</f>
        <v>2330.19</v>
      </c>
    </row>
    <row r="113" spans="1:5" s="30" customFormat="1" ht="16.5" customHeight="1" thickBot="1" x14ac:dyDescent="0.3">
      <c r="A113" s="410" t="s">
        <v>49</v>
      </c>
      <c r="B113" s="411"/>
      <c r="C113" s="411"/>
      <c r="D113" s="170">
        <f>+D111+D112</f>
        <v>10572.07</v>
      </c>
      <c r="E113" s="233">
        <f>+E111+E112</f>
        <v>10572.07</v>
      </c>
    </row>
    <row r="114" spans="1:5" x14ac:dyDescent="0.25">
      <c r="C114" s="31"/>
      <c r="D114" s="31"/>
      <c r="E114" s="33"/>
    </row>
    <row r="115" spans="1:5" x14ac:dyDescent="0.25">
      <c r="B115" s="28"/>
      <c r="C115" s="31"/>
      <c r="D115" s="31"/>
      <c r="E115" s="34"/>
    </row>
    <row r="116" spans="1:5" x14ac:dyDescent="0.25">
      <c r="B116" s="28"/>
      <c r="C116" s="31"/>
      <c r="D116" s="31"/>
      <c r="E116" s="34" t="s">
        <v>129</v>
      </c>
    </row>
    <row r="117" spans="1:5" x14ac:dyDescent="0.25">
      <c r="B117" s="28"/>
      <c r="C117" s="421"/>
      <c r="D117" s="421"/>
      <c r="E117" s="421"/>
    </row>
    <row r="118" spans="1:5" x14ac:dyDescent="0.25">
      <c r="B118" s="28"/>
      <c r="C118" s="31"/>
      <c r="D118" s="31"/>
      <c r="E118" s="35"/>
    </row>
    <row r="120" spans="1:5" x14ac:dyDescent="0.25">
      <c r="B120" s="36"/>
    </row>
    <row r="125" spans="1:5" x14ac:dyDescent="0.25">
      <c r="B125" s="28"/>
    </row>
  </sheetData>
  <mergeCells count="64">
    <mergeCell ref="B112:C112"/>
    <mergeCell ref="A113:C113"/>
    <mergeCell ref="C117:E117"/>
    <mergeCell ref="B106:C106"/>
    <mergeCell ref="B107:C107"/>
    <mergeCell ref="B108:C108"/>
    <mergeCell ref="B109:C109"/>
    <mergeCell ref="B110:C110"/>
    <mergeCell ref="A111:C111"/>
    <mergeCell ref="A105:C105"/>
    <mergeCell ref="B84:C84"/>
    <mergeCell ref="B85:C85"/>
    <mergeCell ref="B86:C86"/>
    <mergeCell ref="B87:C87"/>
    <mergeCell ref="B88:C88"/>
    <mergeCell ref="A89:C89"/>
    <mergeCell ref="A90:C90"/>
    <mergeCell ref="A91:E91"/>
    <mergeCell ref="B92:C92"/>
    <mergeCell ref="A95:A102"/>
    <mergeCell ref="A104:C104"/>
    <mergeCell ref="A83:E83"/>
    <mergeCell ref="A62:C62"/>
    <mergeCell ref="A63:E63"/>
    <mergeCell ref="B64:C64"/>
    <mergeCell ref="A71:B71"/>
    <mergeCell ref="B73:C73"/>
    <mergeCell ref="A75:B75"/>
    <mergeCell ref="A76:E76"/>
    <mergeCell ref="A77:E77"/>
    <mergeCell ref="B78:C78"/>
    <mergeCell ref="A81:B81"/>
    <mergeCell ref="A82:C82"/>
    <mergeCell ref="B56:C56"/>
    <mergeCell ref="A26:E26"/>
    <mergeCell ref="B27:C27"/>
    <mergeCell ref="A30:B30"/>
    <mergeCell ref="A31:E31"/>
    <mergeCell ref="B32:C32"/>
    <mergeCell ref="A41:B41"/>
    <mergeCell ref="A42:E42"/>
    <mergeCell ref="B43:C43"/>
    <mergeCell ref="A50:E50"/>
    <mergeCell ref="A54:C54"/>
    <mergeCell ref="A55:E55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C6:E6"/>
    <mergeCell ref="A1:E1"/>
    <mergeCell ref="A2:E2"/>
    <mergeCell ref="A3:E3"/>
    <mergeCell ref="C4:E4"/>
    <mergeCell ref="C5:E5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5"/>
  <sheetViews>
    <sheetView view="pageBreakPreview" zoomScaleNormal="115" zoomScaleSheetLayoutView="100" workbookViewId="0">
      <selection activeCell="A24" sqref="A24:H24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4" width="15.7109375" style="32" customWidth="1"/>
    <col min="5" max="5" width="15.7109375" style="37" customWidth="1"/>
    <col min="6" max="6" width="9.140625" style="28" customWidth="1"/>
    <col min="7" max="16384" width="9.140625" style="28"/>
  </cols>
  <sheetData>
    <row r="1" spans="1:5" x14ac:dyDescent="0.25">
      <c r="A1" s="433"/>
      <c r="B1" s="434"/>
      <c r="C1" s="434"/>
      <c r="D1" s="434"/>
      <c r="E1" s="435"/>
    </row>
    <row r="2" spans="1:5" s="38" customFormat="1" ht="16.5" customHeight="1" x14ac:dyDescent="0.25">
      <c r="A2" s="407" t="s">
        <v>132</v>
      </c>
      <c r="B2" s="408"/>
      <c r="C2" s="408"/>
      <c r="D2" s="408"/>
      <c r="E2" s="409"/>
    </row>
    <row r="3" spans="1:5" s="38" customFormat="1" x14ac:dyDescent="0.25">
      <c r="A3" s="404" t="s">
        <v>129</v>
      </c>
      <c r="B3" s="405"/>
      <c r="C3" s="405"/>
      <c r="D3" s="405"/>
      <c r="E3" s="406"/>
    </row>
    <row r="4" spans="1:5" s="38" customFormat="1" ht="15" customHeight="1" x14ac:dyDescent="0.25">
      <c r="A4" s="40" t="s">
        <v>0</v>
      </c>
      <c r="B4" s="41" t="s">
        <v>1</v>
      </c>
      <c r="C4" s="436">
        <v>2024</v>
      </c>
      <c r="D4" s="436"/>
      <c r="E4" s="437"/>
    </row>
    <row r="5" spans="1:5" s="38" customFormat="1" ht="75" customHeight="1" x14ac:dyDescent="0.25">
      <c r="A5" s="40" t="s">
        <v>2</v>
      </c>
      <c r="B5" s="41" t="s">
        <v>140</v>
      </c>
      <c r="C5" s="438" t="s">
        <v>258</v>
      </c>
      <c r="D5" s="438"/>
      <c r="E5" s="439"/>
    </row>
    <row r="6" spans="1:5" s="38" customFormat="1" ht="15.75" customHeight="1" x14ac:dyDescent="0.25">
      <c r="A6" s="40" t="s">
        <v>3</v>
      </c>
      <c r="B6" s="41" t="s">
        <v>4</v>
      </c>
      <c r="C6" s="438" t="s">
        <v>261</v>
      </c>
      <c r="D6" s="438"/>
      <c r="E6" s="439"/>
    </row>
    <row r="7" spans="1:5" s="38" customFormat="1" x14ac:dyDescent="0.25">
      <c r="A7" s="40" t="s">
        <v>5</v>
      </c>
      <c r="B7" s="41" t="s">
        <v>143</v>
      </c>
      <c r="C7" s="438">
        <v>12</v>
      </c>
      <c r="D7" s="438"/>
      <c r="E7" s="439"/>
    </row>
    <row r="8" spans="1:5" s="38" customFormat="1" x14ac:dyDescent="0.25">
      <c r="A8" s="404" t="s">
        <v>6</v>
      </c>
      <c r="B8" s="405"/>
      <c r="C8" s="405"/>
      <c r="D8" s="405"/>
      <c r="E8" s="406"/>
    </row>
    <row r="9" spans="1:5" s="38" customFormat="1" x14ac:dyDescent="0.25">
      <c r="A9" s="404" t="s">
        <v>7</v>
      </c>
      <c r="B9" s="405"/>
      <c r="C9" s="405"/>
      <c r="D9" s="405"/>
      <c r="E9" s="406"/>
    </row>
    <row r="10" spans="1:5" s="38" customFormat="1" ht="15.75" customHeight="1" x14ac:dyDescent="0.25">
      <c r="A10" s="404" t="s">
        <v>8</v>
      </c>
      <c r="B10" s="405"/>
      <c r="C10" s="405"/>
      <c r="D10" s="405"/>
      <c r="E10" s="406"/>
    </row>
    <row r="11" spans="1:5" s="38" customFormat="1" ht="30" customHeight="1" x14ac:dyDescent="0.25">
      <c r="A11" s="440" t="s">
        <v>9</v>
      </c>
      <c r="B11" s="441"/>
      <c r="C11" s="441"/>
      <c r="D11" s="57"/>
      <c r="E11" s="164" t="s">
        <v>10</v>
      </c>
    </row>
    <row r="12" spans="1:5" s="38" customFormat="1" ht="60" customHeight="1" x14ac:dyDescent="0.25">
      <c r="A12" s="40">
        <v>1</v>
      </c>
      <c r="B12" s="42" t="s">
        <v>133</v>
      </c>
      <c r="C12" s="445" t="s">
        <v>259</v>
      </c>
      <c r="D12" s="445"/>
      <c r="E12" s="446"/>
    </row>
    <row r="13" spans="1:5" s="38" customFormat="1" ht="30" customHeight="1" x14ac:dyDescent="0.25">
      <c r="A13" s="40">
        <v>2</v>
      </c>
      <c r="B13" s="42" t="s">
        <v>11</v>
      </c>
      <c r="C13" s="447">
        <v>3325</v>
      </c>
      <c r="D13" s="447"/>
      <c r="E13" s="465"/>
    </row>
    <row r="14" spans="1:5" s="38" customFormat="1" ht="15.75" customHeight="1" x14ac:dyDescent="0.25">
      <c r="A14" s="40">
        <v>3</v>
      </c>
      <c r="B14" s="42" t="s">
        <v>12</v>
      </c>
      <c r="C14" s="445" t="s">
        <v>235</v>
      </c>
      <c r="D14" s="445"/>
      <c r="E14" s="446"/>
    </row>
    <row r="15" spans="1:5" s="38" customFormat="1" x14ac:dyDescent="0.25">
      <c r="A15" s="40">
        <v>4</v>
      </c>
      <c r="B15" s="43" t="s">
        <v>13</v>
      </c>
      <c r="C15" s="450"/>
      <c r="D15" s="450"/>
      <c r="E15" s="451"/>
    </row>
    <row r="16" spans="1:5" s="39" customFormat="1" ht="31.5" x14ac:dyDescent="0.25">
      <c r="A16" s="402" t="s">
        <v>14</v>
      </c>
      <c r="B16" s="403"/>
      <c r="C16" s="403"/>
      <c r="D16" s="252" t="s">
        <v>263</v>
      </c>
      <c r="E16" s="253" t="s">
        <v>264</v>
      </c>
    </row>
    <row r="17" spans="1:5" s="39" customFormat="1" x14ac:dyDescent="0.25">
      <c r="A17" s="44">
        <v>1</v>
      </c>
      <c r="B17" s="420" t="s">
        <v>15</v>
      </c>
      <c r="C17" s="420"/>
      <c r="D17" s="61" t="s">
        <v>10</v>
      </c>
      <c r="E17" s="62" t="s">
        <v>10</v>
      </c>
    </row>
    <row r="18" spans="1:5" s="38" customFormat="1" ht="15.75" customHeight="1" x14ac:dyDescent="0.25">
      <c r="A18" s="45" t="s">
        <v>0</v>
      </c>
      <c r="B18" s="46" t="s">
        <v>16</v>
      </c>
      <c r="C18" s="43"/>
      <c r="D18" s="81">
        <f>C13</f>
        <v>3325</v>
      </c>
      <c r="E18" s="63">
        <f>C13</f>
        <v>3325</v>
      </c>
    </row>
    <row r="19" spans="1:5" s="38" customFormat="1" ht="15.75" customHeight="1" x14ac:dyDescent="0.25">
      <c r="A19" s="45" t="s">
        <v>2</v>
      </c>
      <c r="B19" s="46" t="s">
        <v>17</v>
      </c>
      <c r="C19" s="82"/>
      <c r="D19" s="83"/>
      <c r="E19" s="64"/>
    </row>
    <row r="20" spans="1:5" s="38" customFormat="1" ht="15.75" customHeight="1" x14ac:dyDescent="0.25">
      <c r="A20" s="45" t="s">
        <v>3</v>
      </c>
      <c r="B20" s="46" t="s">
        <v>18</v>
      </c>
      <c r="C20" s="116" t="s">
        <v>243</v>
      </c>
      <c r="D20" s="83">
        <f>40%*1412</f>
        <v>564.79999999999995</v>
      </c>
      <c r="E20" s="64">
        <f>40%*1412</f>
        <v>564.79999999999995</v>
      </c>
    </row>
    <row r="21" spans="1:5" s="38" customFormat="1" ht="15.75" customHeight="1" x14ac:dyDescent="0.25">
      <c r="A21" s="45" t="s">
        <v>5</v>
      </c>
      <c r="B21" s="46" t="s">
        <v>19</v>
      </c>
      <c r="C21" s="82"/>
      <c r="D21" s="83">
        <f>((((D18+D20)/220)*20%)*8)*15.21</f>
        <v>430.28</v>
      </c>
      <c r="E21" s="64">
        <f>((((E18+E20)/220)*20%)*8)*15.21</f>
        <v>430.28</v>
      </c>
    </row>
    <row r="22" spans="1:5" s="38" customFormat="1" ht="15.75" customHeight="1" x14ac:dyDescent="0.25">
      <c r="A22" s="45" t="s">
        <v>20</v>
      </c>
      <c r="B22" s="46" t="s">
        <v>204</v>
      </c>
      <c r="C22" s="82"/>
      <c r="D22" s="83"/>
      <c r="E22" s="64"/>
    </row>
    <row r="23" spans="1:5" s="38" customFormat="1" x14ac:dyDescent="0.25">
      <c r="A23" s="45" t="s">
        <v>21</v>
      </c>
      <c r="B23" s="46" t="s">
        <v>138</v>
      </c>
      <c r="C23" s="49"/>
      <c r="D23" s="83"/>
      <c r="E23" s="64"/>
    </row>
    <row r="24" spans="1:5" s="38" customFormat="1" ht="15.75" customHeight="1" x14ac:dyDescent="0.25">
      <c r="A24" s="45" t="s">
        <v>22</v>
      </c>
      <c r="B24" s="47" t="s">
        <v>139</v>
      </c>
      <c r="C24" s="49"/>
      <c r="D24" s="83"/>
      <c r="E24" s="64"/>
    </row>
    <row r="25" spans="1:5" s="39" customFormat="1" ht="15.75" customHeight="1" x14ac:dyDescent="0.25">
      <c r="A25" s="400" t="s">
        <v>152</v>
      </c>
      <c r="B25" s="401"/>
      <c r="C25" s="401"/>
      <c r="D25" s="70">
        <f>SUM(D18:D24)</f>
        <v>4320.08</v>
      </c>
      <c r="E25" s="65">
        <f>SUM(E18:E24)</f>
        <v>4320.08</v>
      </c>
    </row>
    <row r="26" spans="1:5" s="39" customFormat="1" x14ac:dyDescent="0.25">
      <c r="A26" s="452" t="s">
        <v>51</v>
      </c>
      <c r="B26" s="453"/>
      <c r="C26" s="453"/>
      <c r="D26" s="453"/>
      <c r="E26" s="468"/>
    </row>
    <row r="27" spans="1:5" s="38" customFormat="1" x14ac:dyDescent="0.25">
      <c r="A27" s="52" t="s">
        <v>141</v>
      </c>
      <c r="B27" s="396" t="s">
        <v>205</v>
      </c>
      <c r="C27" s="412"/>
      <c r="D27" s="74" t="s">
        <v>10</v>
      </c>
      <c r="E27" s="188" t="s">
        <v>10</v>
      </c>
    </row>
    <row r="28" spans="1:5" s="38" customFormat="1" x14ac:dyDescent="0.25">
      <c r="A28" s="50" t="s">
        <v>0</v>
      </c>
      <c r="B28" s="51" t="s">
        <v>28</v>
      </c>
      <c r="C28" s="59">
        <f>1/12</f>
        <v>8.3299999999999999E-2</v>
      </c>
      <c r="D28" s="84">
        <f>(D25)*C28</f>
        <v>359.86</v>
      </c>
      <c r="E28" s="66">
        <f>(E25)*C28</f>
        <v>359.86</v>
      </c>
    </row>
    <row r="29" spans="1:5" s="38" customFormat="1" x14ac:dyDescent="0.25">
      <c r="A29" s="50" t="s">
        <v>2</v>
      </c>
      <c r="B29" s="51" t="s">
        <v>148</v>
      </c>
      <c r="C29" s="59">
        <v>0.1111</v>
      </c>
      <c r="D29" s="84">
        <f>(D25)*C29</f>
        <v>479.96</v>
      </c>
      <c r="E29" s="66">
        <f>(E25)*C29</f>
        <v>479.96</v>
      </c>
    </row>
    <row r="30" spans="1:5" x14ac:dyDescent="0.25">
      <c r="A30" s="418" t="s">
        <v>27</v>
      </c>
      <c r="B30" s="419"/>
      <c r="C30" s="99">
        <f>SUM(C28:C29)</f>
        <v>0.19439999999999999</v>
      </c>
      <c r="D30" s="86">
        <f>SUM(D28:D29)</f>
        <v>839.82</v>
      </c>
      <c r="E30" s="67">
        <f>SUM(E28:E29)</f>
        <v>839.82</v>
      </c>
    </row>
    <row r="31" spans="1:5" ht="32.25" customHeight="1" x14ac:dyDescent="0.25">
      <c r="A31" s="469" t="s">
        <v>190</v>
      </c>
      <c r="B31" s="470"/>
      <c r="C31" s="470"/>
      <c r="D31" s="470"/>
      <c r="E31" s="471"/>
    </row>
    <row r="32" spans="1:5" x14ac:dyDescent="0.25">
      <c r="A32" s="77" t="s">
        <v>141</v>
      </c>
      <c r="B32" s="413" t="s">
        <v>25</v>
      </c>
      <c r="C32" s="414"/>
      <c r="D32" s="75" t="s">
        <v>10</v>
      </c>
      <c r="E32" s="186" t="s">
        <v>10</v>
      </c>
    </row>
    <row r="33" spans="1:5" x14ac:dyDescent="0.25">
      <c r="A33" s="50" t="s">
        <v>0</v>
      </c>
      <c r="B33" s="87" t="s">
        <v>207</v>
      </c>
      <c r="C33" s="59">
        <v>0.2</v>
      </c>
      <c r="D33" s="84">
        <f t="shared" ref="D33:D40" si="0">($E$25+D$30)*C33</f>
        <v>1031.98</v>
      </c>
      <c r="E33" s="66">
        <f t="shared" ref="E33:E40" si="1">($E$25+E$30)*C33</f>
        <v>1031.98</v>
      </c>
    </row>
    <row r="34" spans="1:5" x14ac:dyDescent="0.25">
      <c r="A34" s="50" t="s">
        <v>2</v>
      </c>
      <c r="B34" s="87" t="s">
        <v>208</v>
      </c>
      <c r="C34" s="88">
        <v>1.4999999999999999E-2</v>
      </c>
      <c r="D34" s="84">
        <f t="shared" si="0"/>
        <v>77.400000000000006</v>
      </c>
      <c r="E34" s="66">
        <f t="shared" si="1"/>
        <v>77.400000000000006</v>
      </c>
    </row>
    <row r="35" spans="1:5" x14ac:dyDescent="0.25">
      <c r="A35" s="50" t="s">
        <v>3</v>
      </c>
      <c r="B35" s="87" t="s">
        <v>209</v>
      </c>
      <c r="C35" s="88">
        <v>0.01</v>
      </c>
      <c r="D35" s="84">
        <f t="shared" si="0"/>
        <v>51.6</v>
      </c>
      <c r="E35" s="66">
        <f t="shared" si="1"/>
        <v>51.6</v>
      </c>
    </row>
    <row r="36" spans="1:5" ht="31.5" x14ac:dyDescent="0.25">
      <c r="A36" s="50" t="s">
        <v>5</v>
      </c>
      <c r="B36" s="73" t="s">
        <v>210</v>
      </c>
      <c r="C36" s="88">
        <v>2E-3</v>
      </c>
      <c r="D36" s="84">
        <f t="shared" si="0"/>
        <v>10.32</v>
      </c>
      <c r="E36" s="66">
        <f t="shared" si="1"/>
        <v>10.32</v>
      </c>
    </row>
    <row r="37" spans="1:5" x14ac:dyDescent="0.25">
      <c r="A37" s="50" t="s">
        <v>20</v>
      </c>
      <c r="B37" s="87" t="s">
        <v>211</v>
      </c>
      <c r="C37" s="88">
        <v>2.5000000000000001E-2</v>
      </c>
      <c r="D37" s="84">
        <f t="shared" si="0"/>
        <v>129</v>
      </c>
      <c r="E37" s="66">
        <f t="shared" si="1"/>
        <v>129</v>
      </c>
    </row>
    <row r="38" spans="1:5" x14ac:dyDescent="0.25">
      <c r="A38" s="50" t="s">
        <v>21</v>
      </c>
      <c r="B38" s="115" t="s">
        <v>212</v>
      </c>
      <c r="C38" s="88">
        <v>0.08</v>
      </c>
      <c r="D38" s="84">
        <f t="shared" si="0"/>
        <v>412.79</v>
      </c>
      <c r="E38" s="66">
        <f t="shared" si="1"/>
        <v>412.79</v>
      </c>
    </row>
    <row r="39" spans="1:5" ht="47.25" x14ac:dyDescent="0.25">
      <c r="A39" s="50" t="s">
        <v>22</v>
      </c>
      <c r="B39" s="73" t="s">
        <v>213</v>
      </c>
      <c r="C39" s="88">
        <v>0.03</v>
      </c>
      <c r="D39" s="84">
        <f t="shared" si="0"/>
        <v>154.80000000000001</v>
      </c>
      <c r="E39" s="66">
        <f t="shared" si="1"/>
        <v>154.80000000000001</v>
      </c>
    </row>
    <row r="40" spans="1:5" x14ac:dyDescent="0.25">
      <c r="A40" s="50" t="s">
        <v>26</v>
      </c>
      <c r="B40" s="114" t="s">
        <v>214</v>
      </c>
      <c r="C40" s="88">
        <v>6.0000000000000001E-3</v>
      </c>
      <c r="D40" s="84">
        <f t="shared" si="0"/>
        <v>30.96</v>
      </c>
      <c r="E40" s="66">
        <f t="shared" si="1"/>
        <v>30.96</v>
      </c>
    </row>
    <row r="41" spans="1:5" s="30" customFormat="1" x14ac:dyDescent="0.25">
      <c r="A41" s="418" t="s">
        <v>27</v>
      </c>
      <c r="B41" s="419"/>
      <c r="C41" s="60">
        <f>SUM(C33:C40)</f>
        <v>0.36799999999999999</v>
      </c>
      <c r="D41" s="86">
        <f>SUM(D33:D40)</f>
        <v>1898.85</v>
      </c>
      <c r="E41" s="67">
        <f>SUM(E33:E40)</f>
        <v>1898.85</v>
      </c>
    </row>
    <row r="42" spans="1:5" s="30" customFormat="1" x14ac:dyDescent="0.25">
      <c r="A42" s="402" t="s">
        <v>173</v>
      </c>
      <c r="B42" s="403"/>
      <c r="C42" s="403"/>
      <c r="D42" s="403"/>
      <c r="E42" s="472"/>
    </row>
    <row r="43" spans="1:5" s="30" customFormat="1" x14ac:dyDescent="0.25">
      <c r="A43" s="80" t="s">
        <v>216</v>
      </c>
      <c r="B43" s="187" t="s">
        <v>217</v>
      </c>
      <c r="C43" s="112"/>
      <c r="D43" s="112"/>
      <c r="E43" s="206"/>
    </row>
    <row r="44" spans="1:5" s="30" customFormat="1" x14ac:dyDescent="0.25">
      <c r="A44" s="98" t="s">
        <v>0</v>
      </c>
      <c r="B44" s="56" t="s">
        <v>144</v>
      </c>
      <c r="C44" s="113"/>
      <c r="D44" s="109">
        <v>0</v>
      </c>
      <c r="E44" s="109">
        <v>0</v>
      </c>
    </row>
    <row r="45" spans="1:5" s="30" customFormat="1" x14ac:dyDescent="0.25">
      <c r="A45" s="48" t="s">
        <v>2</v>
      </c>
      <c r="B45" s="47" t="s">
        <v>191</v>
      </c>
      <c r="C45" s="79"/>
      <c r="D45" s="109">
        <v>0</v>
      </c>
      <c r="E45" s="109">
        <v>0</v>
      </c>
    </row>
    <row r="46" spans="1:5" s="30" customFormat="1" x14ac:dyDescent="0.25">
      <c r="A46" s="50" t="s">
        <v>3</v>
      </c>
      <c r="B46" s="51" t="s">
        <v>134</v>
      </c>
      <c r="C46" s="71"/>
      <c r="D46" s="109">
        <v>0</v>
      </c>
      <c r="E46" s="109">
        <v>0</v>
      </c>
    </row>
    <row r="47" spans="1:5" s="30" customFormat="1" x14ac:dyDescent="0.25">
      <c r="A47" s="50" t="s">
        <v>5</v>
      </c>
      <c r="B47" s="51" t="s">
        <v>135</v>
      </c>
      <c r="C47" s="59"/>
      <c r="D47" s="109">
        <v>0</v>
      </c>
      <c r="E47" s="109">
        <v>0</v>
      </c>
    </row>
    <row r="48" spans="1:5" s="30" customFormat="1" x14ac:dyDescent="0.25">
      <c r="A48" s="50" t="s">
        <v>20</v>
      </c>
      <c r="B48" s="51" t="s">
        <v>136</v>
      </c>
      <c r="C48" s="71"/>
      <c r="D48" s="109">
        <v>0</v>
      </c>
      <c r="E48" s="109">
        <v>0</v>
      </c>
    </row>
    <row r="49" spans="1:5" s="30" customFormat="1" ht="15.75" customHeight="1" x14ac:dyDescent="0.25">
      <c r="A49" s="418" t="s">
        <v>23</v>
      </c>
      <c r="B49" s="419"/>
      <c r="C49" s="419"/>
      <c r="D49" s="86">
        <f>SUM(D44:D48)</f>
        <v>0</v>
      </c>
      <c r="E49" s="67">
        <f>SUM(E44:E48)</f>
        <v>0</v>
      </c>
    </row>
    <row r="50" spans="1:5" s="30" customFormat="1" ht="15.75" customHeight="1" x14ac:dyDescent="0.25">
      <c r="A50" s="402" t="s">
        <v>224</v>
      </c>
      <c r="B50" s="403"/>
      <c r="C50" s="403"/>
      <c r="D50" s="403"/>
      <c r="E50" s="472"/>
    </row>
    <row r="51" spans="1:5" s="30" customFormat="1" ht="15.75" customHeight="1" x14ac:dyDescent="0.25">
      <c r="A51" s="44" t="s">
        <v>141</v>
      </c>
      <c r="B51" s="110" t="s">
        <v>145</v>
      </c>
      <c r="C51" s="57"/>
      <c r="D51" s="69">
        <f>D30</f>
        <v>839.82</v>
      </c>
      <c r="E51" s="209">
        <f>E30</f>
        <v>839.82</v>
      </c>
    </row>
    <row r="52" spans="1:5" s="30" customFormat="1" ht="15.75" customHeight="1" x14ac:dyDescent="0.25">
      <c r="A52" s="44" t="s">
        <v>215</v>
      </c>
      <c r="B52" s="110" t="s">
        <v>146</v>
      </c>
      <c r="C52" s="57"/>
      <c r="D52" s="69">
        <f>D41</f>
        <v>1898.85</v>
      </c>
      <c r="E52" s="209">
        <f>E41</f>
        <v>1898.85</v>
      </c>
    </row>
    <row r="53" spans="1:5" s="30" customFormat="1" ht="15.75" customHeight="1" x14ac:dyDescent="0.25">
      <c r="A53" s="44" t="s">
        <v>216</v>
      </c>
      <c r="B53" s="110" t="s">
        <v>147</v>
      </c>
      <c r="C53" s="57"/>
      <c r="D53" s="69">
        <f>D49</f>
        <v>0</v>
      </c>
      <c r="E53" s="209">
        <f>E49</f>
        <v>0</v>
      </c>
    </row>
    <row r="54" spans="1:5" s="30" customFormat="1" ht="15.75" customHeight="1" x14ac:dyDescent="0.25">
      <c r="A54" s="400" t="s">
        <v>153</v>
      </c>
      <c r="B54" s="401"/>
      <c r="C54" s="401"/>
      <c r="D54" s="70">
        <f>SUM(D51:D53)</f>
        <v>2738.67</v>
      </c>
      <c r="E54" s="65">
        <f>SUM(E51:E53)</f>
        <v>2738.67</v>
      </c>
    </row>
    <row r="55" spans="1:5" s="30" customFormat="1" ht="15.75" customHeight="1" x14ac:dyDescent="0.25">
      <c r="A55" s="452" t="s">
        <v>162</v>
      </c>
      <c r="B55" s="453"/>
      <c r="C55" s="453"/>
      <c r="D55" s="453"/>
      <c r="E55" s="468"/>
    </row>
    <row r="56" spans="1:5" s="30" customFormat="1" ht="15.75" customHeight="1" x14ac:dyDescent="0.25">
      <c r="A56" s="52" t="s">
        <v>200</v>
      </c>
      <c r="B56" s="396" t="s">
        <v>32</v>
      </c>
      <c r="C56" s="397"/>
      <c r="D56" s="74" t="s">
        <v>10</v>
      </c>
      <c r="E56" s="188" t="s">
        <v>10</v>
      </c>
    </row>
    <row r="57" spans="1:5" s="30" customFormat="1" ht="15.75" customHeight="1" x14ac:dyDescent="0.25">
      <c r="A57" s="50" t="s">
        <v>0</v>
      </c>
      <c r="B57" s="51" t="s">
        <v>33</v>
      </c>
      <c r="C57" s="59">
        <v>4.5999999999999999E-3</v>
      </c>
      <c r="D57" s="84">
        <f>D$25*C57</f>
        <v>19.87</v>
      </c>
      <c r="E57" s="66">
        <f>E$25*C57</f>
        <v>19.87</v>
      </c>
    </row>
    <row r="58" spans="1:5" s="30" customFormat="1" ht="15.75" customHeight="1" x14ac:dyDescent="0.25">
      <c r="A58" s="50" t="s">
        <v>2</v>
      </c>
      <c r="B58" s="51" t="s">
        <v>34</v>
      </c>
      <c r="C58" s="59">
        <v>4.0000000000000002E-4</v>
      </c>
      <c r="D58" s="84">
        <f>D$25*C58</f>
        <v>1.73</v>
      </c>
      <c r="E58" s="66">
        <f>E$25*C58</f>
        <v>1.73</v>
      </c>
    </row>
    <row r="59" spans="1:5" s="30" customFormat="1" ht="15.75" customHeight="1" x14ac:dyDescent="0.25">
      <c r="A59" s="50" t="s">
        <v>3</v>
      </c>
      <c r="B59" s="54" t="s">
        <v>35</v>
      </c>
      <c r="C59" s="59">
        <v>1.9400000000000001E-2</v>
      </c>
      <c r="D59" s="84">
        <f>D$25*C59</f>
        <v>83.81</v>
      </c>
      <c r="E59" s="66">
        <f>E$25*C59</f>
        <v>83.81</v>
      </c>
    </row>
    <row r="60" spans="1:5" s="30" customFormat="1" ht="30.75" customHeight="1" x14ac:dyDescent="0.25">
      <c r="A60" s="50" t="s">
        <v>5</v>
      </c>
      <c r="B60" s="51" t="s">
        <v>174</v>
      </c>
      <c r="C60" s="59">
        <v>7.1000000000000004E-3</v>
      </c>
      <c r="D60" s="84">
        <f>D$25*C60</f>
        <v>30.67</v>
      </c>
      <c r="E60" s="66">
        <f>E$25*C60</f>
        <v>30.67</v>
      </c>
    </row>
    <row r="61" spans="1:5" s="30" customFormat="1" ht="15.75" customHeight="1" x14ac:dyDescent="0.25">
      <c r="A61" s="50" t="s">
        <v>20</v>
      </c>
      <c r="B61" s="51" t="s">
        <v>149</v>
      </c>
      <c r="C61" s="59">
        <v>0.04</v>
      </c>
      <c r="D61" s="84">
        <f>D$25*C61</f>
        <v>172.8</v>
      </c>
      <c r="E61" s="66">
        <f>E$25*C61</f>
        <v>172.8</v>
      </c>
    </row>
    <row r="62" spans="1:5" s="30" customFormat="1" x14ac:dyDescent="0.25">
      <c r="A62" s="400" t="s">
        <v>154</v>
      </c>
      <c r="B62" s="401"/>
      <c r="C62" s="401"/>
      <c r="D62" s="70">
        <f>SUM(D57:D61)</f>
        <v>308.88</v>
      </c>
      <c r="E62" s="65">
        <f>SUM(E57:E61)</f>
        <v>308.88</v>
      </c>
    </row>
    <row r="63" spans="1:5" s="30" customFormat="1" x14ac:dyDescent="0.25">
      <c r="A63" s="452" t="s">
        <v>163</v>
      </c>
      <c r="B63" s="453"/>
      <c r="C63" s="453"/>
      <c r="D63" s="453"/>
      <c r="E63" s="468"/>
    </row>
    <row r="64" spans="1:5" s="30" customFormat="1" x14ac:dyDescent="0.25">
      <c r="A64" s="52" t="s">
        <v>199</v>
      </c>
      <c r="B64" s="430" t="s">
        <v>198</v>
      </c>
      <c r="C64" s="430"/>
      <c r="D64" s="74" t="s">
        <v>10</v>
      </c>
      <c r="E64" s="188" t="s">
        <v>10</v>
      </c>
    </row>
    <row r="65" spans="1:5" s="30" customFormat="1" x14ac:dyDescent="0.25">
      <c r="A65" s="50" t="s">
        <v>0</v>
      </c>
      <c r="B65" s="51" t="s">
        <v>192</v>
      </c>
      <c r="C65" s="59">
        <v>9.2999999999999992E-3</v>
      </c>
      <c r="D65" s="84">
        <f t="shared" ref="D65:D70" si="2">(D$25+D$54+D$62+D$85)*C65</f>
        <v>68.86</v>
      </c>
      <c r="E65" s="66">
        <f t="shared" ref="E65:E70" si="3">(E$25+E$54+E$62+E$85)*C65</f>
        <v>68.86</v>
      </c>
    </row>
    <row r="66" spans="1:5" s="30" customFormat="1" x14ac:dyDescent="0.25">
      <c r="A66" s="50" t="s">
        <v>2</v>
      </c>
      <c r="B66" s="51" t="s">
        <v>193</v>
      </c>
      <c r="C66" s="59">
        <v>1.66E-2</v>
      </c>
      <c r="D66" s="84">
        <f t="shared" si="2"/>
        <v>122.91</v>
      </c>
      <c r="E66" s="66">
        <f t="shared" si="3"/>
        <v>122.91</v>
      </c>
    </row>
    <row r="67" spans="1:5" s="30" customFormat="1" x14ac:dyDescent="0.25">
      <c r="A67" s="50" t="s">
        <v>3</v>
      </c>
      <c r="B67" s="51" t="s">
        <v>194</v>
      </c>
      <c r="C67" s="59">
        <v>2.0000000000000001E-4</v>
      </c>
      <c r="D67" s="84">
        <f t="shared" si="2"/>
        <v>1.48</v>
      </c>
      <c r="E67" s="66">
        <f t="shared" si="3"/>
        <v>1.48</v>
      </c>
    </row>
    <row r="68" spans="1:5" s="30" customFormat="1" x14ac:dyDescent="0.25">
      <c r="A68" s="50" t="s">
        <v>5</v>
      </c>
      <c r="B68" s="51" t="s">
        <v>195</v>
      </c>
      <c r="C68" s="59">
        <v>2.7000000000000001E-3</v>
      </c>
      <c r="D68" s="84">
        <f t="shared" si="2"/>
        <v>19.989999999999998</v>
      </c>
      <c r="E68" s="66">
        <f t="shared" si="3"/>
        <v>19.989999999999998</v>
      </c>
    </row>
    <row r="69" spans="1:5" s="30" customFormat="1" x14ac:dyDescent="0.25">
      <c r="A69" s="50" t="s">
        <v>20</v>
      </c>
      <c r="B69" s="51" t="s">
        <v>196</v>
      </c>
      <c r="C69" s="59">
        <v>2.9999999999999997E-4</v>
      </c>
      <c r="D69" s="84">
        <f t="shared" si="2"/>
        <v>2.2200000000000002</v>
      </c>
      <c r="E69" s="66">
        <f t="shared" si="3"/>
        <v>2.2200000000000002</v>
      </c>
    </row>
    <row r="70" spans="1:5" s="30" customFormat="1" ht="15.75" customHeight="1" x14ac:dyDescent="0.25">
      <c r="A70" s="50" t="s">
        <v>21</v>
      </c>
      <c r="B70" s="55" t="s">
        <v>197</v>
      </c>
      <c r="C70" s="59">
        <v>0</v>
      </c>
      <c r="D70" s="84">
        <f t="shared" si="2"/>
        <v>0</v>
      </c>
      <c r="E70" s="66">
        <f t="shared" si="3"/>
        <v>0</v>
      </c>
    </row>
    <row r="71" spans="1:5" s="30" customFormat="1" x14ac:dyDescent="0.25">
      <c r="A71" s="418" t="s">
        <v>29</v>
      </c>
      <c r="B71" s="419"/>
      <c r="C71" s="60">
        <f>SUM(C65:C70)</f>
        <v>2.9100000000000001E-2</v>
      </c>
      <c r="D71" s="86">
        <f>SUM(D65:D70)</f>
        <v>215.46</v>
      </c>
      <c r="E71" s="67">
        <f>SUM(E65:E70)</f>
        <v>215.46</v>
      </c>
    </row>
    <row r="72" spans="1:5" s="30" customFormat="1" x14ac:dyDescent="0.25">
      <c r="A72" s="44"/>
      <c r="B72" s="57"/>
      <c r="C72" s="78"/>
      <c r="D72" s="78"/>
      <c r="E72" s="63"/>
    </row>
    <row r="73" spans="1:5" s="30" customFormat="1" x14ac:dyDescent="0.25">
      <c r="A73" s="44"/>
      <c r="B73" s="420" t="s">
        <v>201</v>
      </c>
      <c r="C73" s="429"/>
      <c r="D73" s="74" t="s">
        <v>10</v>
      </c>
      <c r="E73" s="188" t="s">
        <v>10</v>
      </c>
    </row>
    <row r="74" spans="1:5" s="30" customFormat="1" x14ac:dyDescent="0.25">
      <c r="A74" s="50" t="s">
        <v>0</v>
      </c>
      <c r="B74" s="51" t="s">
        <v>202</v>
      </c>
      <c r="C74" s="59">
        <v>0</v>
      </c>
      <c r="D74" s="84">
        <f>(D$25+D$54+D$62)*C74</f>
        <v>0</v>
      </c>
      <c r="E74" s="66">
        <f>(E$25+E$54+E$62)*C74</f>
        <v>0</v>
      </c>
    </row>
    <row r="75" spans="1:5" s="30" customFormat="1" ht="15.75" customHeight="1" x14ac:dyDescent="0.25">
      <c r="A75" s="418" t="s">
        <v>27</v>
      </c>
      <c r="B75" s="419"/>
      <c r="C75" s="101">
        <f>C74</f>
        <v>0</v>
      </c>
      <c r="D75" s="86">
        <f>D74</f>
        <v>0</v>
      </c>
      <c r="E75" s="67">
        <f>E74</f>
        <v>0</v>
      </c>
    </row>
    <row r="76" spans="1:5" s="30" customFormat="1" ht="15.75" customHeight="1" x14ac:dyDescent="0.25">
      <c r="A76" s="402" t="s">
        <v>30</v>
      </c>
      <c r="B76" s="403"/>
      <c r="C76" s="403"/>
      <c r="D76" s="403"/>
      <c r="E76" s="472"/>
    </row>
    <row r="77" spans="1:5" s="30" customFormat="1" ht="15.75" customHeight="1" x14ac:dyDescent="0.25">
      <c r="A77" s="454" t="s">
        <v>203</v>
      </c>
      <c r="B77" s="455"/>
      <c r="C77" s="455"/>
      <c r="D77" s="455"/>
      <c r="E77" s="473"/>
    </row>
    <row r="78" spans="1:5" s="30" customFormat="1" ht="15.75" customHeight="1" x14ac:dyDescent="0.25">
      <c r="A78" s="52">
        <v>4</v>
      </c>
      <c r="B78" s="396" t="s">
        <v>31</v>
      </c>
      <c r="C78" s="397"/>
      <c r="D78" s="74" t="s">
        <v>10</v>
      </c>
      <c r="E78" s="188" t="s">
        <v>10</v>
      </c>
    </row>
    <row r="79" spans="1:5" s="30" customFormat="1" ht="15.75" customHeight="1" x14ac:dyDescent="0.25">
      <c r="A79" s="50" t="s">
        <v>199</v>
      </c>
      <c r="B79" s="55" t="s">
        <v>198</v>
      </c>
      <c r="C79" s="59">
        <f>C71</f>
        <v>2.9100000000000001E-2</v>
      </c>
      <c r="D79" s="84">
        <f>D71</f>
        <v>215.46</v>
      </c>
      <c r="E79" s="66">
        <f>E71</f>
        <v>215.46</v>
      </c>
    </row>
    <row r="80" spans="1:5" s="30" customFormat="1" ht="15.75" customHeight="1" x14ac:dyDescent="0.25">
      <c r="A80" s="50" t="s">
        <v>221</v>
      </c>
      <c r="B80" s="55" t="s">
        <v>201</v>
      </c>
      <c r="C80" s="59">
        <v>0</v>
      </c>
      <c r="D80" s="84">
        <f>(D$25+D$54+D$62)*C80</f>
        <v>0</v>
      </c>
      <c r="E80" s="66">
        <f>(E$25+E$54+E$62)*C80</f>
        <v>0</v>
      </c>
    </row>
    <row r="81" spans="1:5" s="30" customFormat="1" ht="15.75" customHeight="1" x14ac:dyDescent="0.25">
      <c r="A81" s="418" t="s">
        <v>27</v>
      </c>
      <c r="B81" s="419"/>
      <c r="C81" s="99">
        <f>SUM(C79:C80)</f>
        <v>2.9100000000000001E-2</v>
      </c>
      <c r="D81" s="86">
        <f>SUM(D79:D80)</f>
        <v>215.46</v>
      </c>
      <c r="E81" s="67">
        <f>SUM(E79:E80)</f>
        <v>215.46</v>
      </c>
    </row>
    <row r="82" spans="1:5" s="30" customFormat="1" ht="15.75" customHeight="1" x14ac:dyDescent="0.25">
      <c r="A82" s="400" t="s">
        <v>155</v>
      </c>
      <c r="B82" s="401"/>
      <c r="C82" s="401"/>
      <c r="D82" s="70">
        <f>SUM(D75+D81)</f>
        <v>215.46</v>
      </c>
      <c r="E82" s="65">
        <f>SUM(E75+E81)</f>
        <v>215.46</v>
      </c>
    </row>
    <row r="83" spans="1:5" s="30" customFormat="1" ht="15.75" customHeight="1" x14ac:dyDescent="0.25">
      <c r="A83" s="452" t="s">
        <v>164</v>
      </c>
      <c r="B83" s="453"/>
      <c r="C83" s="453"/>
      <c r="D83" s="453"/>
      <c r="E83" s="468"/>
    </row>
    <row r="84" spans="1:5" s="30" customFormat="1" ht="15.75" customHeight="1" x14ac:dyDescent="0.25">
      <c r="A84" s="52">
        <v>5</v>
      </c>
      <c r="B84" s="396" t="s">
        <v>24</v>
      </c>
      <c r="C84" s="397"/>
      <c r="D84" s="74" t="s">
        <v>10</v>
      </c>
      <c r="E84" s="188" t="s">
        <v>10</v>
      </c>
    </row>
    <row r="85" spans="1:5" s="30" customFormat="1" ht="15.75" customHeight="1" x14ac:dyDescent="0.25">
      <c r="A85" s="48" t="s">
        <v>0</v>
      </c>
      <c r="B85" s="395" t="s">
        <v>222</v>
      </c>
      <c r="C85" s="395"/>
      <c r="D85" s="84">
        <f>Uniformes!H7</f>
        <v>36.619999999999997</v>
      </c>
      <c r="E85" s="66">
        <f>Uniformes!H7</f>
        <v>36.619999999999997</v>
      </c>
    </row>
    <row r="86" spans="1:5" s="30" customFormat="1" ht="15.75" customHeight="1" x14ac:dyDescent="0.25">
      <c r="A86" s="48" t="s">
        <v>2</v>
      </c>
      <c r="B86" s="395" t="s">
        <v>223</v>
      </c>
      <c r="C86" s="395"/>
      <c r="D86" s="84">
        <f>Materiais!H18</f>
        <v>64.819999999999993</v>
      </c>
      <c r="E86" s="66">
        <f>Materiais!H19</f>
        <v>64.819999999999993</v>
      </c>
    </row>
    <row r="87" spans="1:5" s="30" customFormat="1" ht="15.75" customHeight="1" x14ac:dyDescent="0.25">
      <c r="A87" s="48" t="s">
        <v>3</v>
      </c>
      <c r="B87" s="395" t="s">
        <v>187</v>
      </c>
      <c r="C87" s="395"/>
      <c r="D87" s="81">
        <f>Equipamentos!H18</f>
        <v>1312.5</v>
      </c>
      <c r="E87" s="63">
        <f>Equipamentos!H19</f>
        <v>1312.5</v>
      </c>
    </row>
    <row r="88" spans="1:5" s="30" customFormat="1" ht="15.75" customHeight="1" x14ac:dyDescent="0.25">
      <c r="A88" s="48" t="s">
        <v>5</v>
      </c>
      <c r="B88" s="395" t="s">
        <v>137</v>
      </c>
      <c r="C88" s="395"/>
      <c r="D88" s="84">
        <v>0</v>
      </c>
      <c r="E88" s="66">
        <v>0</v>
      </c>
    </row>
    <row r="89" spans="1:5" s="30" customFormat="1" ht="15.75" customHeight="1" x14ac:dyDescent="0.25">
      <c r="A89" s="400" t="s">
        <v>156</v>
      </c>
      <c r="B89" s="401"/>
      <c r="C89" s="401"/>
      <c r="D89" s="70">
        <f>SUM(D85:D88)</f>
        <v>1413.94</v>
      </c>
      <c r="E89" s="65">
        <f>SUM(E85:E88)</f>
        <v>1413.94</v>
      </c>
    </row>
    <row r="90" spans="1:5" s="30" customFormat="1" ht="30" customHeight="1" x14ac:dyDescent="0.25">
      <c r="A90" s="398" t="s">
        <v>225</v>
      </c>
      <c r="B90" s="399"/>
      <c r="C90" s="399"/>
      <c r="D90" s="167">
        <f>D89+D82+D62+D54+D25</f>
        <v>8997.0300000000007</v>
      </c>
      <c r="E90" s="230">
        <f>E89+E82+E62+E54+E25</f>
        <v>8997.0300000000007</v>
      </c>
    </row>
    <row r="91" spans="1:5" s="30" customFormat="1" ht="19.5" customHeight="1" x14ac:dyDescent="0.25">
      <c r="A91" s="452" t="s">
        <v>165</v>
      </c>
      <c r="B91" s="453"/>
      <c r="C91" s="453"/>
      <c r="D91" s="453"/>
      <c r="E91" s="468"/>
    </row>
    <row r="92" spans="1:5" s="30" customFormat="1" x14ac:dyDescent="0.25">
      <c r="A92" s="52">
        <v>6</v>
      </c>
      <c r="B92" s="396" t="s">
        <v>38</v>
      </c>
      <c r="C92" s="412"/>
      <c r="D92" s="74" t="s">
        <v>10</v>
      </c>
      <c r="E92" s="188" t="s">
        <v>10</v>
      </c>
    </row>
    <row r="93" spans="1:5" s="30" customFormat="1" x14ac:dyDescent="0.25">
      <c r="A93" s="52" t="s">
        <v>0</v>
      </c>
      <c r="B93" s="51" t="s">
        <v>39</v>
      </c>
      <c r="C93" s="59">
        <v>0.03</v>
      </c>
      <c r="D93" s="84">
        <f>+D90*C93</f>
        <v>269.91000000000003</v>
      </c>
      <c r="E93" s="66">
        <f>+E90*C93</f>
        <v>269.91000000000003</v>
      </c>
    </row>
    <row r="94" spans="1:5" s="30" customFormat="1" x14ac:dyDescent="0.25">
      <c r="A94" s="52" t="s">
        <v>2</v>
      </c>
      <c r="B94" s="51" t="s">
        <v>40</v>
      </c>
      <c r="C94" s="59">
        <v>6.7900000000000002E-2</v>
      </c>
      <c r="D94" s="84">
        <f>C94*(+D90+D93)</f>
        <v>629.23</v>
      </c>
      <c r="E94" s="66">
        <f>C94*(+E90+E93)</f>
        <v>629.23</v>
      </c>
    </row>
    <row r="95" spans="1:5" s="30" customFormat="1" ht="31.5" x14ac:dyDescent="0.25">
      <c r="A95" s="422" t="s">
        <v>3</v>
      </c>
      <c r="B95" s="51" t="s">
        <v>50</v>
      </c>
      <c r="C95" s="59">
        <f>1-C103</f>
        <v>0.85750000000000004</v>
      </c>
      <c r="D95" s="84">
        <f>+D90+D93+D94</f>
        <v>9896.17</v>
      </c>
      <c r="E95" s="66">
        <f>+E90+E93+E94</f>
        <v>9896.17</v>
      </c>
    </row>
    <row r="96" spans="1:5" s="30" customFormat="1" x14ac:dyDescent="0.25">
      <c r="A96" s="422"/>
      <c r="B96" s="55" t="s">
        <v>41</v>
      </c>
      <c r="C96" s="95"/>
      <c r="D96" s="168">
        <f>+D95/C95</f>
        <v>11540.72</v>
      </c>
      <c r="E96" s="231">
        <f>+E95/C95</f>
        <v>11540.72</v>
      </c>
    </row>
    <row r="97" spans="1:5" s="30" customFormat="1" x14ac:dyDescent="0.25">
      <c r="A97" s="422"/>
      <c r="B97" s="55" t="s">
        <v>42</v>
      </c>
      <c r="C97" s="72"/>
      <c r="D97" s="84"/>
      <c r="E97" s="66"/>
    </row>
    <row r="98" spans="1:5" s="30" customFormat="1" x14ac:dyDescent="0.25">
      <c r="A98" s="422"/>
      <c r="B98" s="51" t="s">
        <v>130</v>
      </c>
      <c r="C98" s="59">
        <v>1.6500000000000001E-2</v>
      </c>
      <c r="D98" s="84">
        <f>+D96*C98</f>
        <v>190.42</v>
      </c>
      <c r="E98" s="66">
        <f>+E96*C98</f>
        <v>190.42</v>
      </c>
    </row>
    <row r="99" spans="1:5" s="30" customFormat="1" x14ac:dyDescent="0.25">
      <c r="A99" s="422"/>
      <c r="B99" s="51" t="s">
        <v>131</v>
      </c>
      <c r="C99" s="59">
        <v>7.5999999999999998E-2</v>
      </c>
      <c r="D99" s="84">
        <f>+D96*C99</f>
        <v>877.09</v>
      </c>
      <c r="E99" s="66">
        <f>+E96*C99</f>
        <v>877.09</v>
      </c>
    </row>
    <row r="100" spans="1:5" s="30" customFormat="1" x14ac:dyDescent="0.25">
      <c r="A100" s="422"/>
      <c r="B100" s="53" t="s">
        <v>43</v>
      </c>
      <c r="C100" s="95"/>
      <c r="D100" s="84"/>
      <c r="E100" s="66"/>
    </row>
    <row r="101" spans="1:5" s="30" customFormat="1" x14ac:dyDescent="0.25">
      <c r="A101" s="422"/>
      <c r="B101" s="53" t="s">
        <v>44</v>
      </c>
      <c r="C101" s="102"/>
      <c r="D101" s="84"/>
      <c r="E101" s="66"/>
    </row>
    <row r="102" spans="1:5" s="30" customFormat="1" x14ac:dyDescent="0.25">
      <c r="A102" s="422"/>
      <c r="B102" s="51" t="s">
        <v>142</v>
      </c>
      <c r="C102" s="59">
        <v>0.05</v>
      </c>
      <c r="D102" s="84">
        <f>+D96*C102</f>
        <v>577.04</v>
      </c>
      <c r="E102" s="66">
        <f>+E96*C102</f>
        <v>577.04</v>
      </c>
    </row>
    <row r="103" spans="1:5" s="30" customFormat="1" x14ac:dyDescent="0.25">
      <c r="A103" s="52"/>
      <c r="B103" s="106" t="s">
        <v>45</v>
      </c>
      <c r="C103" s="107">
        <f>SUM(C98:C102)</f>
        <v>0.14249999999999999</v>
      </c>
      <c r="D103" s="84">
        <f>SUM(D98:D102)</f>
        <v>1644.55</v>
      </c>
      <c r="E103" s="66">
        <f>SUM(E98:E102)</f>
        <v>1644.55</v>
      </c>
    </row>
    <row r="104" spans="1:5" s="30" customFormat="1" ht="15.75" customHeight="1" x14ac:dyDescent="0.25">
      <c r="A104" s="418" t="s">
        <v>46</v>
      </c>
      <c r="B104" s="419"/>
      <c r="C104" s="419"/>
      <c r="D104" s="86">
        <f>+D93+D94+D103</f>
        <v>2543.69</v>
      </c>
      <c r="E104" s="67">
        <f>+E93+E94+E103</f>
        <v>2543.69</v>
      </c>
    </row>
    <row r="105" spans="1:5" s="30" customFormat="1" ht="15.75" customHeight="1" x14ac:dyDescent="0.25">
      <c r="A105" s="456" t="s">
        <v>47</v>
      </c>
      <c r="B105" s="457"/>
      <c r="C105" s="457"/>
      <c r="D105" s="169" t="s">
        <v>10</v>
      </c>
      <c r="E105" s="232" t="s">
        <v>10</v>
      </c>
    </row>
    <row r="106" spans="1:5" s="30" customFormat="1" x14ac:dyDescent="0.25">
      <c r="A106" s="50" t="s">
        <v>0</v>
      </c>
      <c r="B106" s="425" t="s">
        <v>48</v>
      </c>
      <c r="C106" s="425"/>
      <c r="D106" s="84">
        <f>+D25</f>
        <v>4320.08</v>
      </c>
      <c r="E106" s="66">
        <f>+E25</f>
        <v>4320.08</v>
      </c>
    </row>
    <row r="107" spans="1:5" s="30" customFormat="1" x14ac:dyDescent="0.25">
      <c r="A107" s="50" t="s">
        <v>2</v>
      </c>
      <c r="B107" s="425" t="s">
        <v>159</v>
      </c>
      <c r="C107" s="425"/>
      <c r="D107" s="84">
        <f>+D54</f>
        <v>2738.67</v>
      </c>
      <c r="E107" s="66">
        <f>+E54</f>
        <v>2738.67</v>
      </c>
    </row>
    <row r="108" spans="1:5" s="30" customFormat="1" x14ac:dyDescent="0.25">
      <c r="A108" s="50" t="s">
        <v>3</v>
      </c>
      <c r="B108" s="425" t="s">
        <v>157</v>
      </c>
      <c r="C108" s="425"/>
      <c r="D108" s="84">
        <f>D62</f>
        <v>308.88</v>
      </c>
      <c r="E108" s="66">
        <f>E62</f>
        <v>308.88</v>
      </c>
    </row>
    <row r="109" spans="1:5" s="30" customFormat="1" x14ac:dyDescent="0.25">
      <c r="A109" s="50" t="s">
        <v>5</v>
      </c>
      <c r="B109" s="425" t="s">
        <v>150</v>
      </c>
      <c r="C109" s="425"/>
      <c r="D109" s="84">
        <f>D82</f>
        <v>215.46</v>
      </c>
      <c r="E109" s="66">
        <f>E82</f>
        <v>215.46</v>
      </c>
    </row>
    <row r="110" spans="1:5" s="30" customFormat="1" x14ac:dyDescent="0.25">
      <c r="A110" s="50" t="s">
        <v>20</v>
      </c>
      <c r="B110" s="425" t="s">
        <v>158</v>
      </c>
      <c r="C110" s="425"/>
      <c r="D110" s="84">
        <f>D89</f>
        <v>1413.94</v>
      </c>
      <c r="E110" s="66">
        <f>E89</f>
        <v>1413.94</v>
      </c>
    </row>
    <row r="111" spans="1:5" s="30" customFormat="1" ht="15.75" customHeight="1" x14ac:dyDescent="0.25">
      <c r="A111" s="422" t="s">
        <v>160</v>
      </c>
      <c r="B111" s="426"/>
      <c r="C111" s="426"/>
      <c r="D111" s="108">
        <f>SUM(D106:D110)</f>
        <v>8997.0300000000007</v>
      </c>
      <c r="E111" s="212">
        <f>SUM(E106:E110)</f>
        <v>8997.0300000000007</v>
      </c>
    </row>
    <row r="112" spans="1:5" s="30" customFormat="1" x14ac:dyDescent="0.25">
      <c r="A112" s="52" t="s">
        <v>20</v>
      </c>
      <c r="B112" s="425" t="s">
        <v>161</v>
      </c>
      <c r="C112" s="425"/>
      <c r="D112" s="84">
        <f>+D104</f>
        <v>2543.69</v>
      </c>
      <c r="E112" s="66">
        <f>+E104</f>
        <v>2543.69</v>
      </c>
    </row>
    <row r="113" spans="1:5" s="30" customFormat="1" ht="16.5" customHeight="1" thickBot="1" x14ac:dyDescent="0.3">
      <c r="A113" s="410" t="s">
        <v>49</v>
      </c>
      <c r="B113" s="411"/>
      <c r="C113" s="411"/>
      <c r="D113" s="170">
        <f>+D111+D112</f>
        <v>11540.72</v>
      </c>
      <c r="E113" s="233">
        <f>+E111+E112</f>
        <v>11540.72</v>
      </c>
    </row>
    <row r="114" spans="1:5" x14ac:dyDescent="0.25">
      <c r="C114" s="31"/>
      <c r="D114" s="31"/>
      <c r="E114" s="33"/>
    </row>
    <row r="115" spans="1:5" x14ac:dyDescent="0.25">
      <c r="B115" s="28"/>
      <c r="C115" s="31"/>
      <c r="D115" s="31"/>
      <c r="E115" s="34"/>
    </row>
    <row r="116" spans="1:5" x14ac:dyDescent="0.25">
      <c r="B116" s="28"/>
      <c r="C116" s="31"/>
      <c r="D116" s="31"/>
      <c r="E116" s="34" t="s">
        <v>129</v>
      </c>
    </row>
    <row r="117" spans="1:5" x14ac:dyDescent="0.25">
      <c r="B117" s="28"/>
      <c r="C117" s="421"/>
      <c r="D117" s="421"/>
      <c r="E117" s="421"/>
    </row>
    <row r="118" spans="1:5" x14ac:dyDescent="0.25">
      <c r="B118" s="28"/>
      <c r="C118" s="31"/>
      <c r="D118" s="31"/>
      <c r="E118" s="35"/>
    </row>
    <row r="120" spans="1:5" x14ac:dyDescent="0.25">
      <c r="B120" s="36"/>
    </row>
    <row r="125" spans="1:5" x14ac:dyDescent="0.25">
      <c r="B125" s="28"/>
    </row>
  </sheetData>
  <mergeCells count="63">
    <mergeCell ref="B112:C112"/>
    <mergeCell ref="A113:C113"/>
    <mergeCell ref="C117:E117"/>
    <mergeCell ref="B106:C106"/>
    <mergeCell ref="B107:C107"/>
    <mergeCell ref="B108:C108"/>
    <mergeCell ref="B109:C109"/>
    <mergeCell ref="B110:C110"/>
    <mergeCell ref="A111:C111"/>
    <mergeCell ref="A105:C105"/>
    <mergeCell ref="B84:C84"/>
    <mergeCell ref="B85:C85"/>
    <mergeCell ref="B86:C86"/>
    <mergeCell ref="B87:C87"/>
    <mergeCell ref="B88:C88"/>
    <mergeCell ref="A89:C89"/>
    <mergeCell ref="A90:C90"/>
    <mergeCell ref="A91:E91"/>
    <mergeCell ref="B92:C92"/>
    <mergeCell ref="A95:A102"/>
    <mergeCell ref="A104:C104"/>
    <mergeCell ref="A83:E83"/>
    <mergeCell ref="A62:C62"/>
    <mergeCell ref="A63:E63"/>
    <mergeCell ref="B64:C64"/>
    <mergeCell ref="A71:B71"/>
    <mergeCell ref="B73:C73"/>
    <mergeCell ref="A75:B75"/>
    <mergeCell ref="A76:E76"/>
    <mergeCell ref="A77:E77"/>
    <mergeCell ref="B78:C78"/>
    <mergeCell ref="A81:B81"/>
    <mergeCell ref="A82:C82"/>
    <mergeCell ref="B56:C56"/>
    <mergeCell ref="A26:E26"/>
    <mergeCell ref="B27:C27"/>
    <mergeCell ref="A30:B30"/>
    <mergeCell ref="A31:E31"/>
    <mergeCell ref="B32:C32"/>
    <mergeCell ref="A41:B41"/>
    <mergeCell ref="A42:E42"/>
    <mergeCell ref="A49:C49"/>
    <mergeCell ref="A50:E50"/>
    <mergeCell ref="A54:C54"/>
    <mergeCell ref="A55:E55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C6:E6"/>
    <mergeCell ref="A1:E1"/>
    <mergeCell ref="A2:E2"/>
    <mergeCell ref="A3:E3"/>
    <mergeCell ref="C4:E4"/>
    <mergeCell ref="C5:E5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5" zoomScaleNormal="115" zoomScaleSheetLayoutView="100" workbookViewId="0">
      <selection activeCell="A24" sqref="A24:H24"/>
    </sheetView>
  </sheetViews>
  <sheetFormatPr defaultColWidth="9.140625" defaultRowHeight="15.75" x14ac:dyDescent="0.25"/>
  <cols>
    <col min="1" max="1" width="4.42578125" style="29" bestFit="1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433"/>
      <c r="B1" s="434"/>
      <c r="C1" s="434"/>
      <c r="D1" s="487"/>
      <c r="E1" s="435"/>
    </row>
    <row r="2" spans="1:5" s="38" customFormat="1" ht="16.5" customHeight="1" x14ac:dyDescent="0.25">
      <c r="A2" s="407" t="s">
        <v>132</v>
      </c>
      <c r="B2" s="408"/>
      <c r="C2" s="408"/>
      <c r="D2" s="488"/>
      <c r="E2" s="409"/>
    </row>
    <row r="3" spans="1:5" s="38" customFormat="1" x14ac:dyDescent="0.25">
      <c r="A3" s="404" t="s">
        <v>129</v>
      </c>
      <c r="B3" s="405"/>
      <c r="C3" s="405"/>
      <c r="D3" s="482"/>
      <c r="E3" s="406"/>
    </row>
    <row r="4" spans="1:5" s="38" customFormat="1" ht="15" customHeight="1" x14ac:dyDescent="0.25">
      <c r="A4" s="40" t="s">
        <v>0</v>
      </c>
      <c r="B4" s="41" t="s">
        <v>1</v>
      </c>
      <c r="C4" s="436">
        <v>2024</v>
      </c>
      <c r="D4" s="461"/>
      <c r="E4" s="437"/>
    </row>
    <row r="5" spans="1:5" s="38" customFormat="1" ht="75" customHeight="1" x14ac:dyDescent="0.25">
      <c r="A5" s="40" t="s">
        <v>2</v>
      </c>
      <c r="B5" s="41" t="s">
        <v>140</v>
      </c>
      <c r="C5" s="438" t="s">
        <v>258</v>
      </c>
      <c r="D5" s="458"/>
      <c r="E5" s="439"/>
    </row>
    <row r="6" spans="1:5" s="38" customFormat="1" ht="15.75" customHeight="1" x14ac:dyDescent="0.25">
      <c r="A6" s="40" t="s">
        <v>3</v>
      </c>
      <c r="B6" s="41" t="s">
        <v>4</v>
      </c>
      <c r="C6" s="438" t="s">
        <v>261</v>
      </c>
      <c r="D6" s="458"/>
      <c r="E6" s="439"/>
    </row>
    <row r="7" spans="1:5" s="38" customFormat="1" x14ac:dyDescent="0.25">
      <c r="A7" s="40" t="s">
        <v>5</v>
      </c>
      <c r="B7" s="41" t="s">
        <v>143</v>
      </c>
      <c r="C7" s="438">
        <v>12</v>
      </c>
      <c r="D7" s="458"/>
      <c r="E7" s="439"/>
    </row>
    <row r="8" spans="1:5" s="38" customFormat="1" x14ac:dyDescent="0.25">
      <c r="A8" s="404" t="s">
        <v>6</v>
      </c>
      <c r="B8" s="405"/>
      <c r="C8" s="405"/>
      <c r="D8" s="482"/>
      <c r="E8" s="406"/>
    </row>
    <row r="9" spans="1:5" s="38" customFormat="1" x14ac:dyDescent="0.25">
      <c r="A9" s="404" t="s">
        <v>7</v>
      </c>
      <c r="B9" s="405"/>
      <c r="C9" s="405"/>
      <c r="D9" s="482"/>
      <c r="E9" s="406"/>
    </row>
    <row r="10" spans="1:5" s="38" customFormat="1" ht="15.75" customHeight="1" x14ac:dyDescent="0.25">
      <c r="A10" s="404" t="s">
        <v>8</v>
      </c>
      <c r="B10" s="405"/>
      <c r="C10" s="405"/>
      <c r="D10" s="482"/>
      <c r="E10" s="406"/>
    </row>
    <row r="11" spans="1:5" s="38" customFormat="1" ht="30" customHeight="1" x14ac:dyDescent="0.25">
      <c r="A11" s="440" t="s">
        <v>9</v>
      </c>
      <c r="B11" s="441"/>
      <c r="C11" s="441"/>
      <c r="D11" s="485" t="s">
        <v>10</v>
      </c>
      <c r="E11" s="486"/>
    </row>
    <row r="12" spans="1:5" s="38" customFormat="1" ht="60" customHeight="1" x14ac:dyDescent="0.25">
      <c r="A12" s="40">
        <v>1</v>
      </c>
      <c r="B12" s="42" t="s">
        <v>133</v>
      </c>
      <c r="C12" s="445" t="s">
        <v>259</v>
      </c>
      <c r="D12" s="387"/>
      <c r="E12" s="446"/>
    </row>
    <row r="13" spans="1:5" s="38" customFormat="1" ht="30" customHeight="1" x14ac:dyDescent="0.25">
      <c r="A13" s="40">
        <v>2</v>
      </c>
      <c r="B13" s="42" t="s">
        <v>11</v>
      </c>
      <c r="C13" s="385">
        <v>4750</v>
      </c>
      <c r="D13" s="483"/>
      <c r="E13" s="484"/>
    </row>
    <row r="14" spans="1:5" s="38" customFormat="1" ht="15.75" customHeight="1" x14ac:dyDescent="0.25">
      <c r="A14" s="40">
        <v>3</v>
      </c>
      <c r="B14" s="42" t="s">
        <v>12</v>
      </c>
      <c r="C14" s="445" t="s">
        <v>232</v>
      </c>
      <c r="D14" s="387"/>
      <c r="E14" s="446"/>
    </row>
    <row r="15" spans="1:5" s="38" customFormat="1" x14ac:dyDescent="0.25">
      <c r="A15" s="40">
        <v>4</v>
      </c>
      <c r="B15" s="43" t="s">
        <v>13</v>
      </c>
      <c r="C15" s="450"/>
      <c r="D15" s="390"/>
      <c r="E15" s="451"/>
    </row>
    <row r="16" spans="1:5" s="39" customFormat="1" ht="31.5" x14ac:dyDescent="0.25">
      <c r="A16" s="402" t="s">
        <v>14</v>
      </c>
      <c r="B16" s="403"/>
      <c r="C16" s="403"/>
      <c r="D16" s="252" t="s">
        <v>265</v>
      </c>
      <c r="E16" s="253" t="s">
        <v>266</v>
      </c>
    </row>
    <row r="17" spans="1:5" s="39" customFormat="1" x14ac:dyDescent="0.25">
      <c r="A17" s="44">
        <v>1</v>
      </c>
      <c r="B17" s="420" t="s">
        <v>15</v>
      </c>
      <c r="C17" s="420"/>
      <c r="D17" s="61" t="s">
        <v>10</v>
      </c>
      <c r="E17" s="134" t="s">
        <v>10</v>
      </c>
    </row>
    <row r="18" spans="1:5" s="38" customFormat="1" ht="15.75" customHeight="1" x14ac:dyDescent="0.25">
      <c r="A18" s="45" t="s">
        <v>0</v>
      </c>
      <c r="B18" s="46" t="s">
        <v>16</v>
      </c>
      <c r="C18" s="43"/>
      <c r="D18" s="81">
        <f>C13</f>
        <v>4750</v>
      </c>
      <c r="E18" s="129">
        <f>C13</f>
        <v>4750</v>
      </c>
    </row>
    <row r="19" spans="1:5" s="38" customFormat="1" ht="15.75" customHeight="1" x14ac:dyDescent="0.25">
      <c r="A19" s="45" t="s">
        <v>2</v>
      </c>
      <c r="B19" s="46" t="s">
        <v>17</v>
      </c>
      <c r="C19" s="82"/>
      <c r="D19" s="83"/>
      <c r="E19" s="135"/>
    </row>
    <row r="20" spans="1:5" s="38" customFormat="1" ht="15.75" customHeight="1" x14ac:dyDescent="0.25">
      <c r="A20" s="45" t="s">
        <v>3</v>
      </c>
      <c r="B20" s="46" t="s">
        <v>18</v>
      </c>
      <c r="C20" s="116" t="s">
        <v>243</v>
      </c>
      <c r="D20" s="83">
        <f>40%*1412</f>
        <v>564.79999999999995</v>
      </c>
      <c r="E20" s="135">
        <f>40%*1412</f>
        <v>564.79999999999995</v>
      </c>
    </row>
    <row r="21" spans="1:5" s="38" customFormat="1" ht="15.75" customHeight="1" x14ac:dyDescent="0.25">
      <c r="A21" s="45" t="s">
        <v>5</v>
      </c>
      <c r="B21" s="46" t="s">
        <v>19</v>
      </c>
      <c r="C21" s="82"/>
      <c r="D21" s="83"/>
      <c r="E21" s="135"/>
    </row>
    <row r="22" spans="1:5" s="38" customFormat="1" ht="15.75" customHeight="1" x14ac:dyDescent="0.25">
      <c r="A22" s="45" t="s">
        <v>20</v>
      </c>
      <c r="B22" s="46" t="s">
        <v>204</v>
      </c>
      <c r="C22" s="82"/>
      <c r="D22" s="83"/>
      <c r="E22" s="135"/>
    </row>
    <row r="23" spans="1:5" s="38" customFormat="1" x14ac:dyDescent="0.25">
      <c r="A23" s="45" t="s">
        <v>21</v>
      </c>
      <c r="B23" s="46" t="s">
        <v>138</v>
      </c>
      <c r="C23" s="49"/>
      <c r="D23" s="83"/>
      <c r="E23" s="135"/>
    </row>
    <row r="24" spans="1:5" s="38" customFormat="1" ht="15.75" customHeight="1" x14ac:dyDescent="0.25">
      <c r="A24" s="45" t="s">
        <v>22</v>
      </c>
      <c r="B24" s="47" t="s">
        <v>139</v>
      </c>
      <c r="C24" s="49"/>
      <c r="D24" s="83"/>
      <c r="E24" s="135"/>
    </row>
    <row r="25" spans="1:5" s="39" customFormat="1" ht="15.75" customHeight="1" x14ac:dyDescent="0.25">
      <c r="A25" s="400" t="s">
        <v>152</v>
      </c>
      <c r="B25" s="401"/>
      <c r="C25" s="401"/>
      <c r="D25" s="70">
        <f>SUM(D18:D24)</f>
        <v>5314.8</v>
      </c>
      <c r="E25" s="136">
        <f>SUM(E18:E24)</f>
        <v>5314.8</v>
      </c>
    </row>
    <row r="26" spans="1:5" s="39" customFormat="1" x14ac:dyDescent="0.25">
      <c r="A26" s="402" t="s">
        <v>51</v>
      </c>
      <c r="B26" s="403"/>
      <c r="C26" s="403"/>
      <c r="D26" s="221"/>
      <c r="E26" s="178"/>
    </row>
    <row r="27" spans="1:5" s="38" customFormat="1" x14ac:dyDescent="0.25">
      <c r="A27" s="52">
        <v>2</v>
      </c>
      <c r="B27" s="396" t="s">
        <v>205</v>
      </c>
      <c r="C27" s="412"/>
      <c r="D27" s="74" t="s">
        <v>10</v>
      </c>
      <c r="E27" s="138" t="s">
        <v>10</v>
      </c>
    </row>
    <row r="28" spans="1:5" s="38" customFormat="1" x14ac:dyDescent="0.25">
      <c r="A28" s="50" t="s">
        <v>0</v>
      </c>
      <c r="B28" s="51" t="s">
        <v>28</v>
      </c>
      <c r="C28" s="59">
        <f>1/12</f>
        <v>8.3299999999999999E-2</v>
      </c>
      <c r="D28" s="84">
        <f>(D25)*C28</f>
        <v>442.72</v>
      </c>
      <c r="E28" s="130">
        <f>(E25)*C28</f>
        <v>442.72</v>
      </c>
    </row>
    <row r="29" spans="1:5" s="38" customFormat="1" x14ac:dyDescent="0.25">
      <c r="A29" s="50" t="s">
        <v>2</v>
      </c>
      <c r="B29" s="51" t="s">
        <v>148</v>
      </c>
      <c r="C29" s="59">
        <v>0.1111</v>
      </c>
      <c r="D29" s="84">
        <f>(D25)*C29</f>
        <v>590.47</v>
      </c>
      <c r="E29" s="130">
        <f>(E25)*C29</f>
        <v>590.47</v>
      </c>
    </row>
    <row r="30" spans="1:5" x14ac:dyDescent="0.25">
      <c r="A30" s="418" t="s">
        <v>27</v>
      </c>
      <c r="B30" s="419"/>
      <c r="C30" s="99">
        <f>SUM(C28:C29)</f>
        <v>0.19439999999999999</v>
      </c>
      <c r="D30" s="86">
        <f>SUM(D28:D29)</f>
        <v>1033.19</v>
      </c>
      <c r="E30" s="131">
        <f>SUM(E28:E29)</f>
        <v>1033.19</v>
      </c>
    </row>
    <row r="31" spans="1:5" ht="32.25" customHeight="1" x14ac:dyDescent="0.25">
      <c r="A31" s="469" t="s">
        <v>206</v>
      </c>
      <c r="B31" s="470"/>
      <c r="C31" s="470"/>
      <c r="D31" s="481"/>
      <c r="E31" s="471"/>
    </row>
    <row r="32" spans="1:5" x14ac:dyDescent="0.25">
      <c r="A32" s="77" t="s">
        <v>215</v>
      </c>
      <c r="B32" s="413" t="s">
        <v>25</v>
      </c>
      <c r="C32" s="414"/>
      <c r="D32" s="75" t="s">
        <v>10</v>
      </c>
      <c r="E32" s="137" t="s">
        <v>10</v>
      </c>
    </row>
    <row r="33" spans="1:5" x14ac:dyDescent="0.25">
      <c r="A33" s="50" t="s">
        <v>0</v>
      </c>
      <c r="B33" s="87" t="s">
        <v>207</v>
      </c>
      <c r="C33" s="59">
        <v>0.2</v>
      </c>
      <c r="D33" s="84">
        <f>(D25+D30)*C33</f>
        <v>1269.5999999999999</v>
      </c>
      <c r="E33" s="130">
        <f>(E25+E30)*C33</f>
        <v>1269.5999999999999</v>
      </c>
    </row>
    <row r="34" spans="1:5" x14ac:dyDescent="0.25">
      <c r="A34" s="50" t="s">
        <v>2</v>
      </c>
      <c r="B34" s="87" t="s">
        <v>208</v>
      </c>
      <c r="C34" s="88">
        <v>1.4999999999999999E-2</v>
      </c>
      <c r="D34" s="84">
        <f>(D25+D30)*C34</f>
        <v>95.22</v>
      </c>
      <c r="E34" s="130">
        <f>(E25+E30)*C34</f>
        <v>95.22</v>
      </c>
    </row>
    <row r="35" spans="1:5" x14ac:dyDescent="0.25">
      <c r="A35" s="50" t="s">
        <v>3</v>
      </c>
      <c r="B35" s="87" t="s">
        <v>209</v>
      </c>
      <c r="C35" s="88">
        <v>0.01</v>
      </c>
      <c r="D35" s="84">
        <f>(D25+D30)*C35</f>
        <v>63.48</v>
      </c>
      <c r="E35" s="130">
        <f>(E25+E30)*C35</f>
        <v>63.48</v>
      </c>
    </row>
    <row r="36" spans="1:5" ht="31.5" x14ac:dyDescent="0.25">
      <c r="A36" s="50" t="s">
        <v>5</v>
      </c>
      <c r="B36" s="73" t="s">
        <v>210</v>
      </c>
      <c r="C36" s="88">
        <v>2E-3</v>
      </c>
      <c r="D36" s="84">
        <f>(D25+D30)*C36</f>
        <v>12.7</v>
      </c>
      <c r="E36" s="130">
        <f>(E25+E30)*C36</f>
        <v>12.7</v>
      </c>
    </row>
    <row r="37" spans="1:5" x14ac:dyDescent="0.25">
      <c r="A37" s="50" t="s">
        <v>20</v>
      </c>
      <c r="B37" s="87" t="s">
        <v>211</v>
      </c>
      <c r="C37" s="88">
        <v>2.5000000000000001E-2</v>
      </c>
      <c r="D37" s="84">
        <f>(D25+D30)*C37</f>
        <v>158.69999999999999</v>
      </c>
      <c r="E37" s="130">
        <f>(E25+E30)*C37</f>
        <v>158.69999999999999</v>
      </c>
    </row>
    <row r="38" spans="1:5" x14ac:dyDescent="0.25">
      <c r="A38" s="50" t="s">
        <v>21</v>
      </c>
      <c r="B38" s="115" t="s">
        <v>212</v>
      </c>
      <c r="C38" s="88">
        <v>0.08</v>
      </c>
      <c r="D38" s="84">
        <f>(D25+D30)*C38</f>
        <v>507.84</v>
      </c>
      <c r="E38" s="130">
        <f>(E25+E30)*C38</f>
        <v>507.84</v>
      </c>
    </row>
    <row r="39" spans="1:5" ht="30.75" customHeight="1" x14ac:dyDescent="0.25">
      <c r="A39" s="50" t="s">
        <v>22</v>
      </c>
      <c r="B39" s="73" t="s">
        <v>213</v>
      </c>
      <c r="C39" s="88">
        <v>0.03</v>
      </c>
      <c r="D39" s="84">
        <f>(D25+D30)*C39</f>
        <v>190.44</v>
      </c>
      <c r="E39" s="130">
        <f>(E25+E30)*C39</f>
        <v>190.44</v>
      </c>
    </row>
    <row r="40" spans="1:5" x14ac:dyDescent="0.25">
      <c r="A40" s="50" t="s">
        <v>26</v>
      </c>
      <c r="B40" s="114" t="s">
        <v>214</v>
      </c>
      <c r="C40" s="88">
        <v>6.0000000000000001E-3</v>
      </c>
      <c r="D40" s="84">
        <f>(D25+D30)*C40</f>
        <v>38.090000000000003</v>
      </c>
      <c r="E40" s="130">
        <f>(E25+E30)*C40</f>
        <v>38.090000000000003</v>
      </c>
    </row>
    <row r="41" spans="1:5" s="30" customFormat="1" x14ac:dyDescent="0.25">
      <c r="A41" s="418" t="s">
        <v>27</v>
      </c>
      <c r="B41" s="419"/>
      <c r="C41" s="60">
        <f>SUM(C33:C40)</f>
        <v>0.36799999999999999</v>
      </c>
      <c r="D41" s="86">
        <f>SUM(D33:D40)</f>
        <v>2336.0700000000002</v>
      </c>
      <c r="E41" s="131">
        <f>SUM(E33:E40)</f>
        <v>2336.0700000000002</v>
      </c>
    </row>
    <row r="42" spans="1:5" s="30" customFormat="1" x14ac:dyDescent="0.25">
      <c r="A42" s="80" t="s">
        <v>216</v>
      </c>
      <c r="B42" s="427" t="s">
        <v>217</v>
      </c>
      <c r="C42" s="428"/>
      <c r="D42" s="112" t="s">
        <v>10</v>
      </c>
      <c r="E42" s="145" t="s">
        <v>10</v>
      </c>
    </row>
    <row r="43" spans="1:5" s="30" customFormat="1" x14ac:dyDescent="0.25">
      <c r="A43" s="98" t="s">
        <v>0</v>
      </c>
      <c r="B43" s="56" t="s">
        <v>144</v>
      </c>
      <c r="C43" s="113"/>
      <c r="D43" s="83">
        <v>0</v>
      </c>
      <c r="E43" s="83">
        <v>0</v>
      </c>
    </row>
    <row r="44" spans="1:5" s="30" customFormat="1" x14ac:dyDescent="0.25">
      <c r="A44" s="48" t="s">
        <v>2</v>
      </c>
      <c r="B44" s="47" t="s">
        <v>218</v>
      </c>
      <c r="C44" s="79"/>
      <c r="D44" s="83">
        <v>0</v>
      </c>
      <c r="E44" s="83">
        <v>0</v>
      </c>
    </row>
    <row r="45" spans="1:5" s="30" customFormat="1" x14ac:dyDescent="0.25">
      <c r="A45" s="50" t="s">
        <v>5</v>
      </c>
      <c r="B45" s="51" t="s">
        <v>134</v>
      </c>
      <c r="C45" s="90"/>
      <c r="D45" s="83">
        <v>0</v>
      </c>
      <c r="E45" s="83">
        <v>0</v>
      </c>
    </row>
    <row r="46" spans="1:5" s="30" customFormat="1" x14ac:dyDescent="0.25">
      <c r="A46" s="50" t="s">
        <v>20</v>
      </c>
      <c r="B46" s="51" t="s">
        <v>135</v>
      </c>
      <c r="C46" s="59"/>
      <c r="D46" s="83">
        <v>0</v>
      </c>
      <c r="E46" s="83">
        <v>0</v>
      </c>
    </row>
    <row r="47" spans="1:5" s="30" customFormat="1" x14ac:dyDescent="0.25">
      <c r="A47" s="50" t="s">
        <v>21</v>
      </c>
      <c r="B47" s="51" t="s">
        <v>136</v>
      </c>
      <c r="C47" s="90"/>
      <c r="D47" s="83">
        <v>0</v>
      </c>
      <c r="E47" s="83">
        <v>0</v>
      </c>
    </row>
    <row r="48" spans="1:5" s="30" customFormat="1" ht="15.75" customHeight="1" x14ac:dyDescent="0.25">
      <c r="A48" s="418" t="s">
        <v>23</v>
      </c>
      <c r="B48" s="419"/>
      <c r="C48" s="419"/>
      <c r="D48" s="86">
        <f>SUM(D43:D47)</f>
        <v>0</v>
      </c>
      <c r="E48" s="131">
        <f>SUM(E43:E47)</f>
        <v>0</v>
      </c>
    </row>
    <row r="49" spans="1:5" s="30" customFormat="1" ht="15.75" customHeight="1" x14ac:dyDescent="0.25">
      <c r="A49" s="402" t="s">
        <v>151</v>
      </c>
      <c r="B49" s="403"/>
      <c r="C49" s="403"/>
      <c r="D49" s="476"/>
      <c r="E49" s="472"/>
    </row>
    <row r="50" spans="1:5" s="30" customFormat="1" ht="15.75" customHeight="1" x14ac:dyDescent="0.25">
      <c r="A50" s="44" t="s">
        <v>141</v>
      </c>
      <c r="B50" s="104" t="s">
        <v>145</v>
      </c>
      <c r="C50" s="57"/>
      <c r="D50" s="69">
        <f>D30</f>
        <v>1033.19</v>
      </c>
      <c r="E50" s="139">
        <f>E30</f>
        <v>1033.19</v>
      </c>
    </row>
    <row r="51" spans="1:5" s="30" customFormat="1" ht="15.75" customHeight="1" x14ac:dyDescent="0.25">
      <c r="A51" s="44" t="s">
        <v>215</v>
      </c>
      <c r="B51" s="104" t="s">
        <v>146</v>
      </c>
      <c r="C51" s="57"/>
      <c r="D51" s="69">
        <f>D41</f>
        <v>2336.0700000000002</v>
      </c>
      <c r="E51" s="139">
        <f>E41</f>
        <v>2336.0700000000002</v>
      </c>
    </row>
    <row r="52" spans="1:5" s="30" customFormat="1" ht="15.75" customHeight="1" x14ac:dyDescent="0.25">
      <c r="A52" s="44" t="s">
        <v>216</v>
      </c>
      <c r="B52" s="104" t="s">
        <v>147</v>
      </c>
      <c r="C52" s="57"/>
      <c r="D52" s="69">
        <f>D48</f>
        <v>0</v>
      </c>
      <c r="E52" s="139">
        <f>E48</f>
        <v>0</v>
      </c>
    </row>
    <row r="53" spans="1:5" s="30" customFormat="1" ht="15.75" customHeight="1" x14ac:dyDescent="0.25">
      <c r="A53" s="400" t="s">
        <v>153</v>
      </c>
      <c r="B53" s="401"/>
      <c r="C53" s="401"/>
      <c r="D53" s="70">
        <f>SUM(D50:D52)</f>
        <v>3369.26</v>
      </c>
      <c r="E53" s="136">
        <f>SUM(E50:E52)</f>
        <v>3369.26</v>
      </c>
    </row>
    <row r="54" spans="1:5" s="30" customFormat="1" ht="15.75" customHeight="1" x14ac:dyDescent="0.25">
      <c r="A54" s="402" t="s">
        <v>162</v>
      </c>
      <c r="B54" s="403"/>
      <c r="C54" s="403"/>
      <c r="D54" s="476"/>
      <c r="E54" s="472"/>
    </row>
    <row r="55" spans="1:5" s="30" customFormat="1" ht="15.75" customHeight="1" x14ac:dyDescent="0.25">
      <c r="A55" s="52" t="s">
        <v>200</v>
      </c>
      <c r="B55" s="396" t="s">
        <v>32</v>
      </c>
      <c r="C55" s="397"/>
      <c r="D55" s="74" t="s">
        <v>10</v>
      </c>
      <c r="E55" s="138" t="s">
        <v>10</v>
      </c>
    </row>
    <row r="56" spans="1:5" s="30" customFormat="1" ht="15.75" customHeight="1" x14ac:dyDescent="0.25">
      <c r="A56" s="50" t="s">
        <v>0</v>
      </c>
      <c r="B56" s="51" t="s">
        <v>33</v>
      </c>
      <c r="C56" s="59">
        <v>4.5999999999999999E-3</v>
      </c>
      <c r="D56" s="84">
        <f>D$25*C56</f>
        <v>24.45</v>
      </c>
      <c r="E56" s="130">
        <f>E$25*C56</f>
        <v>24.45</v>
      </c>
    </row>
    <row r="57" spans="1:5" s="30" customFormat="1" ht="15.75" customHeight="1" x14ac:dyDescent="0.25">
      <c r="A57" s="50" t="s">
        <v>2</v>
      </c>
      <c r="B57" s="51" t="s">
        <v>34</v>
      </c>
      <c r="C57" s="59">
        <v>4.0000000000000002E-4</v>
      </c>
      <c r="D57" s="84">
        <f>D$25*C57</f>
        <v>2.13</v>
      </c>
      <c r="E57" s="130">
        <f>E$25*C57</f>
        <v>2.13</v>
      </c>
    </row>
    <row r="58" spans="1:5" s="30" customFormat="1" ht="15.75" customHeight="1" x14ac:dyDescent="0.25">
      <c r="A58" s="50" t="s">
        <v>3</v>
      </c>
      <c r="B58" s="51" t="s">
        <v>35</v>
      </c>
      <c r="C58" s="59">
        <v>1.9400000000000001E-2</v>
      </c>
      <c r="D58" s="84">
        <f>D$25*C58</f>
        <v>103.11</v>
      </c>
      <c r="E58" s="130">
        <f>E$25*C58</f>
        <v>103.11</v>
      </c>
    </row>
    <row r="59" spans="1:5" s="30" customFormat="1" ht="15.75" customHeight="1" x14ac:dyDescent="0.25">
      <c r="A59" s="50" t="s">
        <v>5</v>
      </c>
      <c r="B59" s="105" t="s">
        <v>174</v>
      </c>
      <c r="C59" s="59">
        <v>7.1000000000000004E-3</v>
      </c>
      <c r="D59" s="84">
        <f>D$25*C59</f>
        <v>37.74</v>
      </c>
      <c r="E59" s="130">
        <f>E$25*C59</f>
        <v>37.74</v>
      </c>
    </row>
    <row r="60" spans="1:5" s="30" customFormat="1" ht="32.25" customHeight="1" x14ac:dyDescent="0.25">
      <c r="A60" s="50" t="s">
        <v>20</v>
      </c>
      <c r="B60" s="51" t="s">
        <v>219</v>
      </c>
      <c r="C60" s="59">
        <v>0.04</v>
      </c>
      <c r="D60" s="84">
        <f>D$25*C60</f>
        <v>212.59</v>
      </c>
      <c r="E60" s="130">
        <f>E$25*C60</f>
        <v>212.59</v>
      </c>
    </row>
    <row r="61" spans="1:5" s="30" customFormat="1" x14ac:dyDescent="0.25">
      <c r="A61" s="400" t="s">
        <v>154</v>
      </c>
      <c r="B61" s="401"/>
      <c r="C61" s="401"/>
      <c r="D61" s="70">
        <f>SUM(D56:D60)</f>
        <v>380.02</v>
      </c>
      <c r="E61" s="136">
        <f>SUM(E56:E60)</f>
        <v>380.02</v>
      </c>
    </row>
    <row r="62" spans="1:5" s="30" customFormat="1" x14ac:dyDescent="0.25">
      <c r="A62" s="402" t="s">
        <v>163</v>
      </c>
      <c r="B62" s="403"/>
      <c r="C62" s="403"/>
      <c r="D62" s="476"/>
      <c r="E62" s="472"/>
    </row>
    <row r="63" spans="1:5" s="30" customFormat="1" x14ac:dyDescent="0.25">
      <c r="A63" s="52" t="s">
        <v>199</v>
      </c>
      <c r="B63" s="430" t="s">
        <v>36</v>
      </c>
      <c r="C63" s="430"/>
      <c r="D63" s="74" t="s">
        <v>10</v>
      </c>
      <c r="E63" s="138" t="s">
        <v>10</v>
      </c>
    </row>
    <row r="64" spans="1:5" s="30" customFormat="1" x14ac:dyDescent="0.25">
      <c r="A64" s="50" t="s">
        <v>0</v>
      </c>
      <c r="B64" s="51" t="s">
        <v>192</v>
      </c>
      <c r="C64" s="59">
        <v>9.2999999999999992E-3</v>
      </c>
      <c r="D64" s="84">
        <f>(D25+D53+D61+D84)*C64</f>
        <v>84.64</v>
      </c>
      <c r="E64" s="130">
        <f>(E25+E53+E61+E84)*C64</f>
        <v>84.64</v>
      </c>
    </row>
    <row r="65" spans="1:5" s="30" customFormat="1" x14ac:dyDescent="0.25">
      <c r="A65" s="50" t="s">
        <v>2</v>
      </c>
      <c r="B65" s="51" t="s">
        <v>193</v>
      </c>
      <c r="C65" s="59">
        <v>1.66E-2</v>
      </c>
      <c r="D65" s="84">
        <f>(D$25+D$53+D$61+D84)*C65</f>
        <v>151.07</v>
      </c>
      <c r="E65" s="130">
        <f>(E$25+E$53+E$61+E84)*C65</f>
        <v>151.07</v>
      </c>
    </row>
    <row r="66" spans="1:5" s="30" customFormat="1" x14ac:dyDescent="0.25">
      <c r="A66" s="50" t="s">
        <v>3</v>
      </c>
      <c r="B66" s="51" t="s">
        <v>194</v>
      </c>
      <c r="C66" s="59">
        <v>2.0000000000000001E-4</v>
      </c>
      <c r="D66" s="84">
        <f>(D$25+D$53+D$61+D$84)*C66</f>
        <v>1.82</v>
      </c>
      <c r="E66" s="130">
        <f>(E$25+E$53+E$61+E$84)*C66</f>
        <v>1.82</v>
      </c>
    </row>
    <row r="67" spans="1:5" s="30" customFormat="1" x14ac:dyDescent="0.25">
      <c r="A67" s="50" t="s">
        <v>5</v>
      </c>
      <c r="B67" s="51" t="s">
        <v>195</v>
      </c>
      <c r="C67" s="59">
        <v>2.7000000000000001E-3</v>
      </c>
      <c r="D67" s="84">
        <f>(D$25+D$53+D$61+D$84)*C67</f>
        <v>24.57</v>
      </c>
      <c r="E67" s="130">
        <f>(E$25+E$53+E$61+E$84)*C67</f>
        <v>24.57</v>
      </c>
    </row>
    <row r="68" spans="1:5" s="30" customFormat="1" x14ac:dyDescent="0.25">
      <c r="A68" s="50" t="s">
        <v>20</v>
      </c>
      <c r="B68" s="51" t="s">
        <v>196</v>
      </c>
      <c r="C68" s="59">
        <v>2.9999999999999997E-4</v>
      </c>
      <c r="D68" s="84">
        <f>(D$25+D$53+D$61+D$84)*C68</f>
        <v>2.73</v>
      </c>
      <c r="E68" s="130">
        <f>(E$25+E$53+E$61+E$84)*C68</f>
        <v>2.73</v>
      </c>
    </row>
    <row r="69" spans="1:5" s="30" customFormat="1" ht="15.75" customHeight="1" x14ac:dyDescent="0.25">
      <c r="A69" s="50" t="s">
        <v>21</v>
      </c>
      <c r="B69" s="55" t="s">
        <v>197</v>
      </c>
      <c r="C69" s="59">
        <v>0</v>
      </c>
      <c r="D69" s="84">
        <f>(D$25+D$53+D$61+D$84)*C69</f>
        <v>0</v>
      </c>
      <c r="E69" s="130">
        <f>(E$25+E$53+E$61+E$84)*C69</f>
        <v>0</v>
      </c>
    </row>
    <row r="70" spans="1:5" s="30" customFormat="1" x14ac:dyDescent="0.25">
      <c r="A70" s="418" t="s">
        <v>29</v>
      </c>
      <c r="B70" s="419"/>
      <c r="C70" s="60">
        <f>SUM(C64:C69)</f>
        <v>2.9100000000000001E-2</v>
      </c>
      <c r="D70" s="86">
        <f>SUM(D64:D69)</f>
        <v>264.83</v>
      </c>
      <c r="E70" s="131">
        <f>SUM(E64:E69)</f>
        <v>264.83</v>
      </c>
    </row>
    <row r="71" spans="1:5" s="30" customFormat="1" x14ac:dyDescent="0.25">
      <c r="A71" s="44"/>
      <c r="B71" s="57"/>
      <c r="C71" s="78"/>
      <c r="D71" s="216"/>
      <c r="E71" s="129"/>
    </row>
    <row r="72" spans="1:5" s="30" customFormat="1" x14ac:dyDescent="0.25">
      <c r="A72" s="44"/>
      <c r="B72" s="420" t="s">
        <v>201</v>
      </c>
      <c r="C72" s="429"/>
      <c r="D72" s="74" t="s">
        <v>10</v>
      </c>
      <c r="E72" s="138" t="s">
        <v>10</v>
      </c>
    </row>
    <row r="73" spans="1:5" s="30" customFormat="1" x14ac:dyDescent="0.25">
      <c r="A73" s="48" t="s">
        <v>0</v>
      </c>
      <c r="B73" s="117" t="s">
        <v>202</v>
      </c>
      <c r="C73" s="100">
        <v>0</v>
      </c>
      <c r="D73" s="222">
        <v>0</v>
      </c>
      <c r="E73" s="171">
        <v>0</v>
      </c>
    </row>
    <row r="74" spans="1:5" s="30" customFormat="1" ht="15.75" customHeight="1" x14ac:dyDescent="0.25">
      <c r="A74" s="418" t="s">
        <v>27</v>
      </c>
      <c r="B74" s="419"/>
      <c r="C74" s="101">
        <v>0</v>
      </c>
      <c r="D74" s="86">
        <f>D73</f>
        <v>0</v>
      </c>
      <c r="E74" s="131">
        <f>E73</f>
        <v>0</v>
      </c>
    </row>
    <row r="75" spans="1:5" s="30" customFormat="1" ht="15.75" customHeight="1" x14ac:dyDescent="0.25">
      <c r="A75" s="402" t="s">
        <v>30</v>
      </c>
      <c r="B75" s="403"/>
      <c r="C75" s="403"/>
      <c r="D75" s="476"/>
      <c r="E75" s="472"/>
    </row>
    <row r="76" spans="1:5" s="30" customFormat="1" ht="15.75" customHeight="1" x14ac:dyDescent="0.25">
      <c r="A76" s="431" t="s">
        <v>203</v>
      </c>
      <c r="B76" s="432"/>
      <c r="C76" s="432"/>
      <c r="D76" s="479"/>
      <c r="E76" s="480"/>
    </row>
    <row r="77" spans="1:5" s="30" customFormat="1" ht="15.75" customHeight="1" x14ac:dyDescent="0.25">
      <c r="A77" s="52">
        <v>4</v>
      </c>
      <c r="B77" s="396" t="s">
        <v>220</v>
      </c>
      <c r="C77" s="397"/>
      <c r="D77" s="74" t="s">
        <v>10</v>
      </c>
      <c r="E77" s="138" t="s">
        <v>10</v>
      </c>
    </row>
    <row r="78" spans="1:5" s="30" customFormat="1" ht="15.75" customHeight="1" x14ac:dyDescent="0.25">
      <c r="A78" s="50" t="s">
        <v>199</v>
      </c>
      <c r="B78" s="51" t="s">
        <v>198</v>
      </c>
      <c r="C78" s="59">
        <f>C70</f>
        <v>2.9100000000000001E-2</v>
      </c>
      <c r="D78" s="84">
        <f>D70</f>
        <v>264.83</v>
      </c>
      <c r="E78" s="130">
        <f>E70</f>
        <v>264.83</v>
      </c>
    </row>
    <row r="79" spans="1:5" s="30" customFormat="1" ht="15.75" customHeight="1" x14ac:dyDescent="0.25">
      <c r="A79" s="50" t="s">
        <v>221</v>
      </c>
      <c r="B79" s="51" t="s">
        <v>201</v>
      </c>
      <c r="C79" s="59">
        <v>0</v>
      </c>
      <c r="D79" s="84">
        <f>(D$25+D$53+D$61)*C79</f>
        <v>0</v>
      </c>
      <c r="E79" s="130">
        <f>(E$25+E$53+E$61)*C79</f>
        <v>0</v>
      </c>
    </row>
    <row r="80" spans="1:5" s="30" customFormat="1" ht="15.75" customHeight="1" x14ac:dyDescent="0.25">
      <c r="A80" s="418" t="s">
        <v>27</v>
      </c>
      <c r="B80" s="419"/>
      <c r="C80" s="99">
        <f>SUM(C78:C79)</f>
        <v>2.9100000000000001E-2</v>
      </c>
      <c r="D80" s="86">
        <f>SUM(D78:D79)</f>
        <v>264.83</v>
      </c>
      <c r="E80" s="131">
        <f>SUM(E78:E79)</f>
        <v>264.83</v>
      </c>
    </row>
    <row r="81" spans="1:5" s="30" customFormat="1" ht="15.75" customHeight="1" x14ac:dyDescent="0.25">
      <c r="A81" s="400" t="s">
        <v>155</v>
      </c>
      <c r="B81" s="401"/>
      <c r="C81" s="401"/>
      <c r="D81" s="70">
        <f>SUM(D74+D80)</f>
        <v>264.83</v>
      </c>
      <c r="E81" s="136">
        <f>SUM(E74+E80)</f>
        <v>264.83</v>
      </c>
    </row>
    <row r="82" spans="1:5" s="30" customFormat="1" ht="15.75" customHeight="1" x14ac:dyDescent="0.25">
      <c r="A82" s="398" t="s">
        <v>164</v>
      </c>
      <c r="B82" s="399"/>
      <c r="C82" s="399"/>
      <c r="D82" s="477"/>
      <c r="E82" s="478"/>
    </row>
    <row r="83" spans="1:5" s="30" customFormat="1" ht="15.75" customHeight="1" x14ac:dyDescent="0.25">
      <c r="A83" s="52">
        <v>5</v>
      </c>
      <c r="B83" s="396" t="s">
        <v>24</v>
      </c>
      <c r="C83" s="397"/>
      <c r="D83" s="74" t="s">
        <v>10</v>
      </c>
      <c r="E83" s="138" t="s">
        <v>10</v>
      </c>
    </row>
    <row r="84" spans="1:5" s="30" customFormat="1" ht="15.75" customHeight="1" x14ac:dyDescent="0.25">
      <c r="A84" s="50" t="s">
        <v>0</v>
      </c>
      <c r="B84" s="395" t="s">
        <v>222</v>
      </c>
      <c r="C84" s="395"/>
      <c r="D84" s="84">
        <f>Uniformes!H7</f>
        <v>36.619999999999997</v>
      </c>
      <c r="E84" s="130">
        <f>Uniformes!H7</f>
        <v>36.619999999999997</v>
      </c>
    </row>
    <row r="85" spans="1:5" s="30" customFormat="1" ht="15.75" customHeight="1" x14ac:dyDescent="0.25">
      <c r="A85" s="50" t="s">
        <v>2</v>
      </c>
      <c r="B85" s="395" t="s">
        <v>223</v>
      </c>
      <c r="C85" s="395"/>
      <c r="D85" s="84">
        <f>Materiais!H20</f>
        <v>44.57</v>
      </c>
      <c r="E85" s="130">
        <f>Materiais!H21</f>
        <v>44.57</v>
      </c>
    </row>
    <row r="86" spans="1:5" s="30" customFormat="1" ht="15.75" customHeight="1" x14ac:dyDescent="0.25">
      <c r="A86" s="50" t="s">
        <v>3</v>
      </c>
      <c r="B86" s="395" t="s">
        <v>187</v>
      </c>
      <c r="C86" s="395"/>
      <c r="D86" s="81">
        <f>Equipamentos!H20</f>
        <v>922.4</v>
      </c>
      <c r="E86" s="129">
        <f>Equipamentos!H21</f>
        <v>922.4</v>
      </c>
    </row>
    <row r="87" spans="1:5" s="30" customFormat="1" ht="15.75" customHeight="1" x14ac:dyDescent="0.25">
      <c r="A87" s="50" t="s">
        <v>5</v>
      </c>
      <c r="B87" s="395" t="s">
        <v>137</v>
      </c>
      <c r="C87" s="395"/>
      <c r="D87" s="84">
        <v>0</v>
      </c>
      <c r="E87" s="130">
        <v>0</v>
      </c>
    </row>
    <row r="88" spans="1:5" s="30" customFormat="1" ht="15.75" customHeight="1" x14ac:dyDescent="0.25">
      <c r="A88" s="400" t="s">
        <v>156</v>
      </c>
      <c r="B88" s="401"/>
      <c r="C88" s="401"/>
      <c r="D88" s="70">
        <f>SUM(D84:D87)</f>
        <v>1003.59</v>
      </c>
      <c r="E88" s="136">
        <f>SUM(E84:E87)</f>
        <v>1003.59</v>
      </c>
    </row>
    <row r="89" spans="1:5" s="30" customFormat="1" ht="30" customHeight="1" x14ac:dyDescent="0.25">
      <c r="A89" s="398" t="s">
        <v>225</v>
      </c>
      <c r="B89" s="399"/>
      <c r="C89" s="399"/>
      <c r="D89" s="167">
        <f>D88+D81+D61+D53+D25</f>
        <v>10332.5</v>
      </c>
      <c r="E89" s="140">
        <f>E88+E81+E61+E53+E25</f>
        <v>10332.5</v>
      </c>
    </row>
    <row r="90" spans="1:5" s="30" customFormat="1" ht="19.5" customHeight="1" x14ac:dyDescent="0.25">
      <c r="A90" s="402" t="s">
        <v>165</v>
      </c>
      <c r="B90" s="403"/>
      <c r="C90" s="403"/>
      <c r="D90" s="476"/>
      <c r="E90" s="472"/>
    </row>
    <row r="91" spans="1:5" s="30" customFormat="1" x14ac:dyDescent="0.25">
      <c r="A91" s="52">
        <v>5</v>
      </c>
      <c r="B91" s="396" t="s">
        <v>38</v>
      </c>
      <c r="C91" s="412"/>
      <c r="D91" s="74" t="s">
        <v>10</v>
      </c>
      <c r="E91" s="138" t="s">
        <v>10</v>
      </c>
    </row>
    <row r="92" spans="1:5" s="30" customFormat="1" x14ac:dyDescent="0.25">
      <c r="A92" s="52" t="s">
        <v>0</v>
      </c>
      <c r="B92" s="51" t="s">
        <v>39</v>
      </c>
      <c r="C92" s="59">
        <v>0.03</v>
      </c>
      <c r="D92" s="84">
        <f>+D89*C92</f>
        <v>309.98</v>
      </c>
      <c r="E92" s="130">
        <f>+E89*C92</f>
        <v>309.98</v>
      </c>
    </row>
    <row r="93" spans="1:5" s="30" customFormat="1" x14ac:dyDescent="0.25">
      <c r="A93" s="52" t="s">
        <v>2</v>
      </c>
      <c r="B93" s="51" t="s">
        <v>40</v>
      </c>
      <c r="C93" s="59">
        <v>6.7900000000000002E-2</v>
      </c>
      <c r="D93" s="84">
        <f>C93*(+D89+D92)</f>
        <v>722.62</v>
      </c>
      <c r="E93" s="130">
        <f>C93*(+E89+E92)</f>
        <v>722.62</v>
      </c>
    </row>
    <row r="94" spans="1:5" s="30" customFormat="1" ht="31.5" x14ac:dyDescent="0.25">
      <c r="A94" s="422" t="s">
        <v>3</v>
      </c>
      <c r="B94" s="51" t="s">
        <v>50</v>
      </c>
      <c r="C94" s="59">
        <f>1-C102</f>
        <v>0.85750000000000004</v>
      </c>
      <c r="D94" s="84">
        <f>+D89+D92+D93</f>
        <v>11365.1</v>
      </c>
      <c r="E94" s="130">
        <f>+E89+E92+E93</f>
        <v>11365.1</v>
      </c>
    </row>
    <row r="95" spans="1:5" s="30" customFormat="1" x14ac:dyDescent="0.25">
      <c r="A95" s="422"/>
      <c r="B95" s="55" t="s">
        <v>41</v>
      </c>
      <c r="C95" s="95"/>
      <c r="D95" s="168">
        <f>+D94/C94</f>
        <v>13253.76</v>
      </c>
      <c r="E95" s="141">
        <f>+E94/C94</f>
        <v>13253.76</v>
      </c>
    </row>
    <row r="96" spans="1:5" s="30" customFormat="1" x14ac:dyDescent="0.25">
      <c r="A96" s="422"/>
      <c r="B96" s="55" t="s">
        <v>42</v>
      </c>
      <c r="C96" s="72"/>
      <c r="D96" s="84"/>
      <c r="E96" s="130"/>
    </row>
    <row r="97" spans="1:5" s="30" customFormat="1" x14ac:dyDescent="0.25">
      <c r="A97" s="422"/>
      <c r="B97" s="51" t="s">
        <v>130</v>
      </c>
      <c r="C97" s="59">
        <v>1.6500000000000001E-2</v>
      </c>
      <c r="D97" s="84">
        <f>+D95*C97</f>
        <v>218.69</v>
      </c>
      <c r="E97" s="130">
        <f>+E95*C97</f>
        <v>218.69</v>
      </c>
    </row>
    <row r="98" spans="1:5" s="30" customFormat="1" x14ac:dyDescent="0.25">
      <c r="A98" s="422"/>
      <c r="B98" s="51" t="s">
        <v>131</v>
      </c>
      <c r="C98" s="59">
        <v>7.5999999999999998E-2</v>
      </c>
      <c r="D98" s="84">
        <f>+D95*C98</f>
        <v>1007.29</v>
      </c>
      <c r="E98" s="130">
        <f>+E95*C98</f>
        <v>1007.29</v>
      </c>
    </row>
    <row r="99" spans="1:5" s="30" customFormat="1" x14ac:dyDescent="0.25">
      <c r="A99" s="422"/>
      <c r="B99" s="53" t="s">
        <v>43</v>
      </c>
      <c r="C99" s="95"/>
      <c r="D99" s="84"/>
      <c r="E99" s="130"/>
    </row>
    <row r="100" spans="1:5" s="30" customFormat="1" x14ac:dyDescent="0.25">
      <c r="A100" s="422"/>
      <c r="B100" s="53" t="s">
        <v>44</v>
      </c>
      <c r="C100" s="102"/>
      <c r="D100" s="84"/>
      <c r="E100" s="130"/>
    </row>
    <row r="101" spans="1:5" s="30" customFormat="1" x14ac:dyDescent="0.25">
      <c r="A101" s="422"/>
      <c r="B101" s="51" t="s">
        <v>142</v>
      </c>
      <c r="C101" s="59">
        <v>0.05</v>
      </c>
      <c r="D101" s="84">
        <f>+D95*C101</f>
        <v>662.69</v>
      </c>
      <c r="E101" s="130">
        <f>+E95*C101</f>
        <v>662.69</v>
      </c>
    </row>
    <row r="102" spans="1:5" s="30" customFormat="1" x14ac:dyDescent="0.25">
      <c r="A102" s="52"/>
      <c r="B102" s="106" t="s">
        <v>45</v>
      </c>
      <c r="C102" s="107">
        <f>SUM(C97:C101)</f>
        <v>0.14249999999999999</v>
      </c>
      <c r="D102" s="108">
        <f>SUM(D97:D101)</f>
        <v>1888.67</v>
      </c>
      <c r="E102" s="143">
        <f>SUM(E97:E101)</f>
        <v>1888.67</v>
      </c>
    </row>
    <row r="103" spans="1:5" s="30" customFormat="1" ht="15.75" customHeight="1" x14ac:dyDescent="0.25">
      <c r="A103" s="418" t="s">
        <v>46</v>
      </c>
      <c r="B103" s="419"/>
      <c r="C103" s="419"/>
      <c r="D103" s="86">
        <f>+D92+D93+D102</f>
        <v>2921.27</v>
      </c>
      <c r="E103" s="131">
        <f>+E92+E93+E102</f>
        <v>2921.27</v>
      </c>
    </row>
    <row r="104" spans="1:5" s="30" customFormat="1" ht="15.75" customHeight="1" x14ac:dyDescent="0.25">
      <c r="A104" s="423" t="s">
        <v>47</v>
      </c>
      <c r="B104" s="424"/>
      <c r="C104" s="424"/>
      <c r="D104" s="76" t="s">
        <v>10</v>
      </c>
      <c r="E104" s="179" t="s">
        <v>10</v>
      </c>
    </row>
    <row r="105" spans="1:5" s="30" customFormat="1" x14ac:dyDescent="0.25">
      <c r="A105" s="50" t="s">
        <v>0</v>
      </c>
      <c r="B105" s="425" t="s">
        <v>48</v>
      </c>
      <c r="C105" s="425"/>
      <c r="D105" s="84">
        <f>D25</f>
        <v>5314.8</v>
      </c>
      <c r="E105" s="130">
        <f>E25</f>
        <v>5314.8</v>
      </c>
    </row>
    <row r="106" spans="1:5" s="30" customFormat="1" x14ac:dyDescent="0.25">
      <c r="A106" s="50" t="s">
        <v>2</v>
      </c>
      <c r="B106" s="425" t="s">
        <v>159</v>
      </c>
      <c r="C106" s="425"/>
      <c r="D106" s="84">
        <f>D53</f>
        <v>3369.26</v>
      </c>
      <c r="E106" s="130">
        <f>E53</f>
        <v>3369.26</v>
      </c>
    </row>
    <row r="107" spans="1:5" s="30" customFormat="1" x14ac:dyDescent="0.25">
      <c r="A107" s="50" t="s">
        <v>3</v>
      </c>
      <c r="B107" s="425" t="s">
        <v>157</v>
      </c>
      <c r="C107" s="425"/>
      <c r="D107" s="84">
        <f>D61</f>
        <v>380.02</v>
      </c>
      <c r="E107" s="130">
        <f>E61</f>
        <v>380.02</v>
      </c>
    </row>
    <row r="108" spans="1:5" s="30" customFormat="1" x14ac:dyDescent="0.25">
      <c r="A108" s="50" t="s">
        <v>5</v>
      </c>
      <c r="B108" s="474" t="s">
        <v>150</v>
      </c>
      <c r="C108" s="475"/>
      <c r="D108" s="84">
        <f>D81</f>
        <v>264.83</v>
      </c>
      <c r="E108" s="130">
        <f>E81</f>
        <v>264.83</v>
      </c>
    </row>
    <row r="109" spans="1:5" s="30" customFormat="1" x14ac:dyDescent="0.25">
      <c r="A109" s="50" t="s">
        <v>20</v>
      </c>
      <c r="B109" s="474" t="s">
        <v>158</v>
      </c>
      <c r="C109" s="475"/>
      <c r="D109" s="84">
        <f>D88</f>
        <v>1003.59</v>
      </c>
      <c r="E109" s="130">
        <f>E88</f>
        <v>1003.59</v>
      </c>
    </row>
    <row r="110" spans="1:5" s="30" customFormat="1" ht="15.75" customHeight="1" x14ac:dyDescent="0.25">
      <c r="A110" s="422" t="s">
        <v>160</v>
      </c>
      <c r="B110" s="426"/>
      <c r="C110" s="426"/>
      <c r="D110" s="108">
        <f>SUM(D105:D109)</f>
        <v>10332.5</v>
      </c>
      <c r="E110" s="143">
        <f>SUM(E105:E109)</f>
        <v>10332.5</v>
      </c>
    </row>
    <row r="111" spans="1:5" s="30" customFormat="1" x14ac:dyDescent="0.25">
      <c r="A111" s="52" t="s">
        <v>20</v>
      </c>
      <c r="B111" s="425" t="s">
        <v>161</v>
      </c>
      <c r="C111" s="425"/>
      <c r="D111" s="84">
        <f>+D103</f>
        <v>2921.27</v>
      </c>
      <c r="E111" s="130">
        <f>+E103</f>
        <v>2921.27</v>
      </c>
    </row>
    <row r="112" spans="1:5" s="30" customFormat="1" ht="16.5" customHeight="1" thickBot="1" x14ac:dyDescent="0.3">
      <c r="A112" s="410" t="s">
        <v>49</v>
      </c>
      <c r="B112" s="411"/>
      <c r="C112" s="411"/>
      <c r="D112" s="170">
        <f>+D110+D111</f>
        <v>13253.77</v>
      </c>
      <c r="E112" s="144">
        <f>+E110+E111</f>
        <v>13253.77</v>
      </c>
    </row>
    <row r="113" spans="2:4" x14ac:dyDescent="0.25">
      <c r="C113" s="31"/>
      <c r="D113" s="31"/>
    </row>
    <row r="114" spans="2:4" x14ac:dyDescent="0.25">
      <c r="B114" s="28"/>
      <c r="C114" s="31"/>
      <c r="D114" s="31"/>
    </row>
    <row r="115" spans="2:4" x14ac:dyDescent="0.25">
      <c r="B115" s="28"/>
      <c r="C115" s="31"/>
      <c r="D115" s="31"/>
    </row>
    <row r="116" spans="2:4" x14ac:dyDescent="0.25">
      <c r="B116" s="28"/>
      <c r="C116" s="29"/>
      <c r="D116" s="29"/>
    </row>
    <row r="117" spans="2:4" x14ac:dyDescent="0.25">
      <c r="B117" s="28"/>
      <c r="C117" s="31"/>
      <c r="D117" s="31"/>
    </row>
    <row r="119" spans="2:4" x14ac:dyDescent="0.25">
      <c r="B119" s="36"/>
    </row>
    <row r="124" spans="2:4" x14ac:dyDescent="0.25">
      <c r="B124" s="28"/>
    </row>
  </sheetData>
  <mergeCells count="63">
    <mergeCell ref="C6:E6"/>
    <mergeCell ref="A1:E1"/>
    <mergeCell ref="A2:E2"/>
    <mergeCell ref="A3:E3"/>
    <mergeCell ref="C4:E4"/>
    <mergeCell ref="C5:E5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B55:C55"/>
    <mergeCell ref="A26:C26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54:E54"/>
    <mergeCell ref="A82:E82"/>
    <mergeCell ref="A61:C61"/>
    <mergeCell ref="A62:E62"/>
    <mergeCell ref="B63:C63"/>
    <mergeCell ref="A70:B70"/>
    <mergeCell ref="B72:C72"/>
    <mergeCell ref="A74:B74"/>
    <mergeCell ref="A75:E75"/>
    <mergeCell ref="A76:E76"/>
    <mergeCell ref="B77:C77"/>
    <mergeCell ref="A80:B80"/>
    <mergeCell ref="A81:C81"/>
    <mergeCell ref="A104:C104"/>
    <mergeCell ref="B83:C83"/>
    <mergeCell ref="B84:C84"/>
    <mergeCell ref="B85:C85"/>
    <mergeCell ref="B86:C86"/>
    <mergeCell ref="B87:C87"/>
    <mergeCell ref="A88:C88"/>
    <mergeCell ref="A89:C89"/>
    <mergeCell ref="A90:E90"/>
    <mergeCell ref="B91:C91"/>
    <mergeCell ref="A94:A101"/>
    <mergeCell ref="A103:C103"/>
    <mergeCell ref="B111:C111"/>
    <mergeCell ref="A112:C112"/>
    <mergeCell ref="B105:C105"/>
    <mergeCell ref="B106:C106"/>
    <mergeCell ref="B107:C107"/>
    <mergeCell ref="B108:C108"/>
    <mergeCell ref="B109:C109"/>
    <mergeCell ref="A110:C110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5"/>
  <sheetViews>
    <sheetView view="pageBreakPreview" topLeftCell="A5" zoomScaleNormal="115" zoomScaleSheetLayoutView="100" workbookViewId="0">
      <selection activeCell="A24" sqref="A24:H24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4" width="15.7109375" style="32" customWidth="1"/>
    <col min="5" max="5" width="15.7109375" style="37" customWidth="1"/>
    <col min="6" max="6" width="9.140625" style="28" customWidth="1"/>
    <col min="7" max="16384" width="9.140625" style="28"/>
  </cols>
  <sheetData>
    <row r="1" spans="1:5" x14ac:dyDescent="0.25">
      <c r="A1" s="433"/>
      <c r="B1" s="434"/>
      <c r="C1" s="434"/>
      <c r="D1" s="487"/>
      <c r="E1" s="435"/>
    </row>
    <row r="2" spans="1:5" s="38" customFormat="1" ht="16.5" customHeight="1" x14ac:dyDescent="0.25">
      <c r="A2" s="407" t="s">
        <v>132</v>
      </c>
      <c r="B2" s="408"/>
      <c r="C2" s="408"/>
      <c r="D2" s="488"/>
      <c r="E2" s="409"/>
    </row>
    <row r="3" spans="1:5" s="38" customFormat="1" x14ac:dyDescent="0.25">
      <c r="A3" s="404" t="s">
        <v>129</v>
      </c>
      <c r="B3" s="405"/>
      <c r="C3" s="405"/>
      <c r="D3" s="482"/>
      <c r="E3" s="406"/>
    </row>
    <row r="4" spans="1:5" s="38" customFormat="1" ht="15" customHeight="1" x14ac:dyDescent="0.25">
      <c r="A4" s="40" t="s">
        <v>0</v>
      </c>
      <c r="B4" s="41" t="s">
        <v>1</v>
      </c>
      <c r="C4" s="436">
        <v>2024</v>
      </c>
      <c r="D4" s="436"/>
      <c r="E4" s="436"/>
    </row>
    <row r="5" spans="1:5" s="38" customFormat="1" ht="75" customHeight="1" x14ac:dyDescent="0.25">
      <c r="A5" s="40" t="s">
        <v>2</v>
      </c>
      <c r="B5" s="41" t="s">
        <v>140</v>
      </c>
      <c r="C5" s="438" t="s">
        <v>258</v>
      </c>
      <c r="D5" s="438"/>
      <c r="E5" s="438"/>
    </row>
    <row r="6" spans="1:5" s="38" customFormat="1" ht="15.75" customHeight="1" x14ac:dyDescent="0.25">
      <c r="A6" s="40" t="s">
        <v>3</v>
      </c>
      <c r="B6" s="41" t="s">
        <v>4</v>
      </c>
      <c r="C6" s="438" t="s">
        <v>261</v>
      </c>
      <c r="D6" s="438"/>
      <c r="E6" s="438"/>
    </row>
    <row r="7" spans="1:5" s="38" customFormat="1" x14ac:dyDescent="0.25">
      <c r="A7" s="40" t="s">
        <v>5</v>
      </c>
      <c r="B7" s="41" t="s">
        <v>143</v>
      </c>
      <c r="C7" s="438">
        <v>12</v>
      </c>
      <c r="D7" s="438"/>
      <c r="E7" s="438"/>
    </row>
    <row r="8" spans="1:5" s="38" customFormat="1" x14ac:dyDescent="0.25">
      <c r="A8" s="404" t="s">
        <v>6</v>
      </c>
      <c r="B8" s="405"/>
      <c r="C8" s="405"/>
      <c r="D8" s="482"/>
      <c r="E8" s="406"/>
    </row>
    <row r="9" spans="1:5" s="38" customFormat="1" x14ac:dyDescent="0.25">
      <c r="A9" s="404" t="s">
        <v>7</v>
      </c>
      <c r="B9" s="405"/>
      <c r="C9" s="405"/>
      <c r="D9" s="482"/>
      <c r="E9" s="406"/>
    </row>
    <row r="10" spans="1:5" s="38" customFormat="1" ht="15.75" customHeight="1" x14ac:dyDescent="0.25">
      <c r="A10" s="404" t="s">
        <v>8</v>
      </c>
      <c r="B10" s="405"/>
      <c r="C10" s="405"/>
      <c r="D10" s="482"/>
      <c r="E10" s="406"/>
    </row>
    <row r="11" spans="1:5" s="38" customFormat="1" ht="30" customHeight="1" x14ac:dyDescent="0.25">
      <c r="A11" s="440" t="s">
        <v>9</v>
      </c>
      <c r="B11" s="441"/>
      <c r="C11" s="441"/>
      <c r="D11" s="485" t="s">
        <v>10</v>
      </c>
      <c r="E11" s="486"/>
    </row>
    <row r="12" spans="1:5" s="38" customFormat="1" ht="60" customHeight="1" x14ac:dyDescent="0.25">
      <c r="A12" s="40">
        <v>1</v>
      </c>
      <c r="B12" s="42" t="s">
        <v>133</v>
      </c>
      <c r="C12" s="445" t="s">
        <v>259</v>
      </c>
      <c r="D12" s="445"/>
      <c r="E12" s="445"/>
    </row>
    <row r="13" spans="1:5" s="38" customFormat="1" ht="30" customHeight="1" x14ac:dyDescent="0.25">
      <c r="A13" s="40">
        <v>2</v>
      </c>
      <c r="B13" s="42" t="s">
        <v>11</v>
      </c>
      <c r="C13" s="385">
        <v>4750</v>
      </c>
      <c r="D13" s="483"/>
      <c r="E13" s="484"/>
    </row>
    <row r="14" spans="1:5" s="38" customFormat="1" ht="15.75" customHeight="1" x14ac:dyDescent="0.25">
      <c r="A14" s="40">
        <v>3</v>
      </c>
      <c r="B14" s="42" t="s">
        <v>12</v>
      </c>
      <c r="C14" s="445" t="s">
        <v>238</v>
      </c>
      <c r="D14" s="445"/>
      <c r="E14" s="445"/>
    </row>
    <row r="15" spans="1:5" s="38" customFormat="1" x14ac:dyDescent="0.25">
      <c r="A15" s="40">
        <v>4</v>
      </c>
      <c r="B15" s="43" t="s">
        <v>13</v>
      </c>
      <c r="C15" s="466"/>
      <c r="D15" s="491"/>
      <c r="E15" s="467"/>
    </row>
    <row r="16" spans="1:5" s="39" customFormat="1" ht="31.5" x14ac:dyDescent="0.25">
      <c r="A16" s="402" t="s">
        <v>14</v>
      </c>
      <c r="B16" s="403"/>
      <c r="C16" s="403"/>
      <c r="D16" s="252" t="s">
        <v>265</v>
      </c>
      <c r="E16" s="253" t="s">
        <v>266</v>
      </c>
    </row>
    <row r="17" spans="1:5" s="39" customFormat="1" x14ac:dyDescent="0.25">
      <c r="A17" s="44">
        <v>1</v>
      </c>
      <c r="B17" s="420" t="s">
        <v>15</v>
      </c>
      <c r="C17" s="420"/>
      <c r="D17" s="61" t="s">
        <v>10</v>
      </c>
      <c r="E17" s="134" t="s">
        <v>10</v>
      </c>
    </row>
    <row r="18" spans="1:5" s="38" customFormat="1" ht="15.75" customHeight="1" x14ac:dyDescent="0.25">
      <c r="A18" s="45" t="s">
        <v>0</v>
      </c>
      <c r="B18" s="46" t="s">
        <v>16</v>
      </c>
      <c r="C18" s="43"/>
      <c r="D18" s="81">
        <f>C13</f>
        <v>4750</v>
      </c>
      <c r="E18" s="129">
        <f>C13</f>
        <v>4750</v>
      </c>
    </row>
    <row r="19" spans="1:5" s="38" customFormat="1" ht="15.75" customHeight="1" x14ac:dyDescent="0.25">
      <c r="A19" s="45" t="s">
        <v>2</v>
      </c>
      <c r="B19" s="46" t="s">
        <v>17</v>
      </c>
      <c r="C19" s="82"/>
      <c r="D19" s="83"/>
      <c r="E19" s="135"/>
    </row>
    <row r="20" spans="1:5" s="38" customFormat="1" ht="15.75" customHeight="1" x14ac:dyDescent="0.25">
      <c r="A20" s="45" t="s">
        <v>3</v>
      </c>
      <c r="B20" s="46" t="s">
        <v>18</v>
      </c>
      <c r="C20" s="116" t="s">
        <v>243</v>
      </c>
      <c r="D20" s="83">
        <f>40%*1412</f>
        <v>564.79999999999995</v>
      </c>
      <c r="E20" s="135">
        <f>40%*1412</f>
        <v>564.79999999999995</v>
      </c>
    </row>
    <row r="21" spans="1:5" s="38" customFormat="1" ht="15.75" customHeight="1" x14ac:dyDescent="0.25">
      <c r="A21" s="45" t="s">
        <v>5</v>
      </c>
      <c r="B21" s="46" t="s">
        <v>19</v>
      </c>
      <c r="C21" s="82"/>
      <c r="D21" s="83">
        <f>((((D18+D20)/220)*20%)*8)*15</f>
        <v>579.79999999999995</v>
      </c>
      <c r="E21" s="135">
        <f>((((E18+E20)/220)*20%)*8)*15</f>
        <v>579.79999999999995</v>
      </c>
    </row>
    <row r="22" spans="1:5" s="38" customFormat="1" ht="15.75" customHeight="1" x14ac:dyDescent="0.25">
      <c r="A22" s="45" t="s">
        <v>20</v>
      </c>
      <c r="B22" s="46" t="s">
        <v>204</v>
      </c>
      <c r="C22" s="82"/>
      <c r="D22" s="83"/>
      <c r="E22" s="135"/>
    </row>
    <row r="23" spans="1:5" s="38" customFormat="1" x14ac:dyDescent="0.25">
      <c r="A23" s="45" t="s">
        <v>21</v>
      </c>
      <c r="B23" s="46" t="s">
        <v>138</v>
      </c>
      <c r="C23" s="49"/>
      <c r="D23" s="83"/>
      <c r="E23" s="135"/>
    </row>
    <row r="24" spans="1:5" s="38" customFormat="1" ht="15.75" customHeight="1" x14ac:dyDescent="0.25">
      <c r="A24" s="45" t="s">
        <v>22</v>
      </c>
      <c r="B24" s="47" t="s">
        <v>139</v>
      </c>
      <c r="C24" s="49"/>
      <c r="D24" s="83"/>
      <c r="E24" s="135"/>
    </row>
    <row r="25" spans="1:5" s="39" customFormat="1" ht="15.75" customHeight="1" x14ac:dyDescent="0.25">
      <c r="A25" s="400" t="s">
        <v>152</v>
      </c>
      <c r="B25" s="401"/>
      <c r="C25" s="401"/>
      <c r="D25" s="70">
        <f>SUM(D18:D24)</f>
        <v>5894.6</v>
      </c>
      <c r="E25" s="136">
        <f>SUM(E18:E24)</f>
        <v>5894.6</v>
      </c>
    </row>
    <row r="26" spans="1:5" s="39" customFormat="1" x14ac:dyDescent="0.25">
      <c r="A26" s="452" t="s">
        <v>51</v>
      </c>
      <c r="B26" s="453"/>
      <c r="C26" s="453"/>
      <c r="D26" s="489"/>
      <c r="E26" s="468"/>
    </row>
    <row r="27" spans="1:5" s="38" customFormat="1" x14ac:dyDescent="0.25">
      <c r="A27" s="52" t="s">
        <v>141</v>
      </c>
      <c r="B27" s="396" t="s">
        <v>205</v>
      </c>
      <c r="C27" s="412"/>
      <c r="D27" s="74" t="s">
        <v>10</v>
      </c>
      <c r="E27" s="138" t="s">
        <v>10</v>
      </c>
    </row>
    <row r="28" spans="1:5" s="38" customFormat="1" x14ac:dyDescent="0.25">
      <c r="A28" s="50" t="s">
        <v>0</v>
      </c>
      <c r="B28" s="51" t="s">
        <v>28</v>
      </c>
      <c r="C28" s="59">
        <f>1/12</f>
        <v>8.3299999999999999E-2</v>
      </c>
      <c r="D28" s="84">
        <f>(D25)*C28</f>
        <v>491.02</v>
      </c>
      <c r="E28" s="130">
        <f>(E25)*C28</f>
        <v>491.02</v>
      </c>
    </row>
    <row r="29" spans="1:5" s="38" customFormat="1" x14ac:dyDescent="0.25">
      <c r="A29" s="50" t="s">
        <v>2</v>
      </c>
      <c r="B29" s="51" t="s">
        <v>148</v>
      </c>
      <c r="C29" s="59">
        <v>0.1111</v>
      </c>
      <c r="D29" s="84">
        <f>(D25)*C29</f>
        <v>654.89</v>
      </c>
      <c r="E29" s="130">
        <f>(E25)*C29</f>
        <v>654.89</v>
      </c>
    </row>
    <row r="30" spans="1:5" x14ac:dyDescent="0.25">
      <c r="A30" s="418" t="s">
        <v>27</v>
      </c>
      <c r="B30" s="419"/>
      <c r="C30" s="99">
        <f>SUM(C28:C29)</f>
        <v>0.19439999999999999</v>
      </c>
      <c r="D30" s="86">
        <f>SUM(D28:D29)</f>
        <v>1145.9100000000001</v>
      </c>
      <c r="E30" s="131">
        <f>SUM(E28:E29)</f>
        <v>1145.9100000000001</v>
      </c>
    </row>
    <row r="31" spans="1:5" ht="32.25" customHeight="1" x14ac:dyDescent="0.25">
      <c r="A31" s="469" t="s">
        <v>190</v>
      </c>
      <c r="B31" s="470"/>
      <c r="C31" s="470"/>
      <c r="D31" s="481"/>
      <c r="E31" s="471"/>
    </row>
    <row r="32" spans="1:5" x14ac:dyDescent="0.25">
      <c r="A32" s="77" t="s">
        <v>141</v>
      </c>
      <c r="B32" s="413" t="s">
        <v>25</v>
      </c>
      <c r="C32" s="414"/>
      <c r="D32" s="75" t="s">
        <v>10</v>
      </c>
      <c r="E32" s="137" t="s">
        <v>10</v>
      </c>
    </row>
    <row r="33" spans="1:5" x14ac:dyDescent="0.25">
      <c r="A33" s="50" t="s">
        <v>0</v>
      </c>
      <c r="B33" s="87" t="s">
        <v>207</v>
      </c>
      <c r="C33" s="59">
        <v>0.2</v>
      </c>
      <c r="D33" s="84">
        <f t="shared" ref="D33:D40" si="0">($E$25+D$30)*C33</f>
        <v>1408.1</v>
      </c>
      <c r="E33" s="130">
        <f t="shared" ref="E33:E40" si="1">($E$25+E$30)*C33</f>
        <v>1408.1</v>
      </c>
    </row>
    <row r="34" spans="1:5" x14ac:dyDescent="0.25">
      <c r="A34" s="50" t="s">
        <v>2</v>
      </c>
      <c r="B34" s="87" t="s">
        <v>208</v>
      </c>
      <c r="C34" s="88">
        <v>1.4999999999999999E-2</v>
      </c>
      <c r="D34" s="84">
        <f t="shared" si="0"/>
        <v>105.61</v>
      </c>
      <c r="E34" s="130">
        <f t="shared" si="1"/>
        <v>105.61</v>
      </c>
    </row>
    <row r="35" spans="1:5" x14ac:dyDescent="0.25">
      <c r="A35" s="50" t="s">
        <v>3</v>
      </c>
      <c r="B35" s="87" t="s">
        <v>209</v>
      </c>
      <c r="C35" s="88">
        <v>0.01</v>
      </c>
      <c r="D35" s="84">
        <f t="shared" si="0"/>
        <v>70.41</v>
      </c>
      <c r="E35" s="130">
        <f t="shared" si="1"/>
        <v>70.41</v>
      </c>
    </row>
    <row r="36" spans="1:5" ht="31.5" x14ac:dyDescent="0.25">
      <c r="A36" s="50" t="s">
        <v>5</v>
      </c>
      <c r="B36" s="73" t="s">
        <v>210</v>
      </c>
      <c r="C36" s="88">
        <v>2E-3</v>
      </c>
      <c r="D36" s="84">
        <f t="shared" si="0"/>
        <v>14.08</v>
      </c>
      <c r="E36" s="130">
        <f t="shared" si="1"/>
        <v>14.08</v>
      </c>
    </row>
    <row r="37" spans="1:5" x14ac:dyDescent="0.25">
      <c r="A37" s="50" t="s">
        <v>20</v>
      </c>
      <c r="B37" s="87" t="s">
        <v>211</v>
      </c>
      <c r="C37" s="88">
        <v>2.5000000000000001E-2</v>
      </c>
      <c r="D37" s="84">
        <f t="shared" si="0"/>
        <v>176.01</v>
      </c>
      <c r="E37" s="130">
        <f t="shared" si="1"/>
        <v>176.01</v>
      </c>
    </row>
    <row r="38" spans="1:5" x14ac:dyDescent="0.25">
      <c r="A38" s="50" t="s">
        <v>21</v>
      </c>
      <c r="B38" s="115" t="s">
        <v>212</v>
      </c>
      <c r="C38" s="88">
        <v>0.08</v>
      </c>
      <c r="D38" s="84">
        <f t="shared" si="0"/>
        <v>563.24</v>
      </c>
      <c r="E38" s="130">
        <f t="shared" si="1"/>
        <v>563.24</v>
      </c>
    </row>
    <row r="39" spans="1:5" ht="47.25" x14ac:dyDescent="0.25">
      <c r="A39" s="50" t="s">
        <v>22</v>
      </c>
      <c r="B39" s="73" t="s">
        <v>213</v>
      </c>
      <c r="C39" s="88">
        <v>0.03</v>
      </c>
      <c r="D39" s="84">
        <f t="shared" si="0"/>
        <v>211.22</v>
      </c>
      <c r="E39" s="130">
        <f t="shared" si="1"/>
        <v>211.22</v>
      </c>
    </row>
    <row r="40" spans="1:5" x14ac:dyDescent="0.25">
      <c r="A40" s="50" t="s">
        <v>26</v>
      </c>
      <c r="B40" s="114" t="s">
        <v>214</v>
      </c>
      <c r="C40" s="88">
        <v>6.0000000000000001E-3</v>
      </c>
      <c r="D40" s="84">
        <f t="shared" si="0"/>
        <v>42.24</v>
      </c>
      <c r="E40" s="130">
        <f t="shared" si="1"/>
        <v>42.24</v>
      </c>
    </row>
    <row r="41" spans="1:5" s="30" customFormat="1" x14ac:dyDescent="0.25">
      <c r="A41" s="418" t="s">
        <v>27</v>
      </c>
      <c r="B41" s="419"/>
      <c r="C41" s="60">
        <f>SUM(C33:C40)</f>
        <v>0.36799999999999999</v>
      </c>
      <c r="D41" s="86">
        <f>SUM(D33:D40)</f>
        <v>2590.91</v>
      </c>
      <c r="E41" s="131">
        <f>SUM(E33:E40)</f>
        <v>2590.91</v>
      </c>
    </row>
    <row r="42" spans="1:5" s="30" customFormat="1" x14ac:dyDescent="0.25">
      <c r="A42" s="402" t="s">
        <v>173</v>
      </c>
      <c r="B42" s="403"/>
      <c r="C42" s="403"/>
      <c r="D42" s="476"/>
      <c r="E42" s="472"/>
    </row>
    <row r="43" spans="1:5" s="30" customFormat="1" x14ac:dyDescent="0.25">
      <c r="A43" s="80" t="s">
        <v>216</v>
      </c>
      <c r="B43" s="427" t="s">
        <v>217</v>
      </c>
      <c r="C43" s="428"/>
      <c r="D43" s="218"/>
      <c r="E43" s="97"/>
    </row>
    <row r="44" spans="1:5" s="30" customFormat="1" x14ac:dyDescent="0.25">
      <c r="A44" s="98" t="s">
        <v>0</v>
      </c>
      <c r="B44" s="56" t="s">
        <v>144</v>
      </c>
      <c r="C44" s="113"/>
      <c r="D44" s="109">
        <v>0</v>
      </c>
      <c r="E44" s="109">
        <v>0</v>
      </c>
    </row>
    <row r="45" spans="1:5" s="30" customFormat="1" x14ac:dyDescent="0.25">
      <c r="A45" s="48" t="s">
        <v>2</v>
      </c>
      <c r="B45" s="47" t="s">
        <v>191</v>
      </c>
      <c r="C45" s="79"/>
      <c r="D45" s="109">
        <v>0</v>
      </c>
      <c r="E45" s="109">
        <v>0</v>
      </c>
    </row>
    <row r="46" spans="1:5" s="30" customFormat="1" x14ac:dyDescent="0.25">
      <c r="A46" s="50" t="s">
        <v>3</v>
      </c>
      <c r="B46" s="51" t="s">
        <v>134</v>
      </c>
      <c r="C46" s="71"/>
      <c r="D46" s="109">
        <v>0</v>
      </c>
      <c r="E46" s="109">
        <v>0</v>
      </c>
    </row>
    <row r="47" spans="1:5" s="30" customFormat="1" x14ac:dyDescent="0.25">
      <c r="A47" s="50" t="s">
        <v>5</v>
      </c>
      <c r="B47" s="51" t="s">
        <v>135</v>
      </c>
      <c r="C47" s="59"/>
      <c r="D47" s="109">
        <v>0</v>
      </c>
      <c r="E47" s="109">
        <v>0</v>
      </c>
    </row>
    <row r="48" spans="1:5" s="30" customFormat="1" x14ac:dyDescent="0.25">
      <c r="A48" s="50" t="s">
        <v>20</v>
      </c>
      <c r="B48" s="51" t="s">
        <v>136</v>
      </c>
      <c r="C48" s="71"/>
      <c r="D48" s="109">
        <v>0</v>
      </c>
      <c r="E48" s="109">
        <v>0</v>
      </c>
    </row>
    <row r="49" spans="1:5" s="30" customFormat="1" ht="15.75" customHeight="1" x14ac:dyDescent="0.25">
      <c r="A49" s="418" t="s">
        <v>23</v>
      </c>
      <c r="B49" s="419"/>
      <c r="C49" s="419"/>
      <c r="D49" s="86">
        <f>SUM(D44:D48)</f>
        <v>0</v>
      </c>
      <c r="E49" s="131">
        <f>SUM(E44:E48)</f>
        <v>0</v>
      </c>
    </row>
    <row r="50" spans="1:5" s="30" customFormat="1" ht="15.75" customHeight="1" x14ac:dyDescent="0.25">
      <c r="A50" s="402" t="s">
        <v>224</v>
      </c>
      <c r="B50" s="403"/>
      <c r="C50" s="403"/>
      <c r="D50" s="476"/>
      <c r="E50" s="472"/>
    </row>
    <row r="51" spans="1:5" s="30" customFormat="1" ht="15.75" customHeight="1" x14ac:dyDescent="0.25">
      <c r="A51" s="44" t="s">
        <v>141</v>
      </c>
      <c r="B51" s="110" t="s">
        <v>145</v>
      </c>
      <c r="C51" s="57"/>
      <c r="D51" s="69">
        <f>D30</f>
        <v>1145.9100000000001</v>
      </c>
      <c r="E51" s="139">
        <f>E30</f>
        <v>1145.9100000000001</v>
      </c>
    </row>
    <row r="52" spans="1:5" s="30" customFormat="1" ht="15.75" customHeight="1" x14ac:dyDescent="0.25">
      <c r="A52" s="44" t="s">
        <v>215</v>
      </c>
      <c r="B52" s="110" t="s">
        <v>146</v>
      </c>
      <c r="C52" s="57"/>
      <c r="D52" s="69">
        <f>D41</f>
        <v>2590.91</v>
      </c>
      <c r="E52" s="139">
        <f>E41</f>
        <v>2590.91</v>
      </c>
    </row>
    <row r="53" spans="1:5" s="30" customFormat="1" ht="15.75" customHeight="1" x14ac:dyDescent="0.25">
      <c r="A53" s="44" t="s">
        <v>216</v>
      </c>
      <c r="B53" s="110" t="s">
        <v>147</v>
      </c>
      <c r="C53" s="57"/>
      <c r="D53" s="69">
        <f>D49</f>
        <v>0</v>
      </c>
      <c r="E53" s="139">
        <f>E49</f>
        <v>0</v>
      </c>
    </row>
    <row r="54" spans="1:5" s="30" customFormat="1" ht="15.75" customHeight="1" x14ac:dyDescent="0.25">
      <c r="A54" s="400" t="s">
        <v>153</v>
      </c>
      <c r="B54" s="401"/>
      <c r="C54" s="401"/>
      <c r="D54" s="70">
        <f>SUM(D51:D53)</f>
        <v>3736.82</v>
      </c>
      <c r="E54" s="136">
        <f>SUM(E51:E53)</f>
        <v>3736.82</v>
      </c>
    </row>
    <row r="55" spans="1:5" s="30" customFormat="1" ht="15.75" customHeight="1" x14ac:dyDescent="0.25">
      <c r="A55" s="452" t="s">
        <v>162</v>
      </c>
      <c r="B55" s="453"/>
      <c r="C55" s="453"/>
      <c r="D55" s="489"/>
      <c r="E55" s="468"/>
    </row>
    <row r="56" spans="1:5" s="30" customFormat="1" ht="15.75" customHeight="1" x14ac:dyDescent="0.25">
      <c r="A56" s="52" t="s">
        <v>200</v>
      </c>
      <c r="B56" s="396" t="s">
        <v>32</v>
      </c>
      <c r="C56" s="397"/>
      <c r="D56" s="74" t="s">
        <v>10</v>
      </c>
      <c r="E56" s="138" t="s">
        <v>10</v>
      </c>
    </row>
    <row r="57" spans="1:5" s="30" customFormat="1" ht="15.75" customHeight="1" x14ac:dyDescent="0.25">
      <c r="A57" s="50" t="s">
        <v>0</v>
      </c>
      <c r="B57" s="51" t="s">
        <v>33</v>
      </c>
      <c r="C57" s="59">
        <v>4.5999999999999999E-3</v>
      </c>
      <c r="D57" s="84">
        <f>D$25*C57</f>
        <v>27.12</v>
      </c>
      <c r="E57" s="130">
        <f>E$25*C57</f>
        <v>27.12</v>
      </c>
    </row>
    <row r="58" spans="1:5" s="30" customFormat="1" ht="15.75" customHeight="1" x14ac:dyDescent="0.25">
      <c r="A58" s="50" t="s">
        <v>2</v>
      </c>
      <c r="B58" s="51" t="s">
        <v>34</v>
      </c>
      <c r="C58" s="59">
        <v>4.0000000000000002E-4</v>
      </c>
      <c r="D58" s="84">
        <f>D$25*C58</f>
        <v>2.36</v>
      </c>
      <c r="E58" s="130">
        <f>E$25*C58</f>
        <v>2.36</v>
      </c>
    </row>
    <row r="59" spans="1:5" s="30" customFormat="1" ht="15.75" customHeight="1" x14ac:dyDescent="0.25">
      <c r="A59" s="50" t="s">
        <v>3</v>
      </c>
      <c r="B59" s="54" t="s">
        <v>35</v>
      </c>
      <c r="C59" s="59">
        <v>1.9400000000000001E-2</v>
      </c>
      <c r="D59" s="84">
        <f>D$25*C59</f>
        <v>114.36</v>
      </c>
      <c r="E59" s="130">
        <f>E$25*C59</f>
        <v>114.36</v>
      </c>
    </row>
    <row r="60" spans="1:5" s="30" customFormat="1" ht="30.75" customHeight="1" x14ac:dyDescent="0.25">
      <c r="A60" s="50" t="s">
        <v>5</v>
      </c>
      <c r="B60" s="51" t="s">
        <v>174</v>
      </c>
      <c r="C60" s="59">
        <v>7.1000000000000004E-3</v>
      </c>
      <c r="D60" s="84">
        <f>D$25*C60</f>
        <v>41.85</v>
      </c>
      <c r="E60" s="130">
        <f>E$25*C60</f>
        <v>41.85</v>
      </c>
    </row>
    <row r="61" spans="1:5" s="30" customFormat="1" ht="15.75" customHeight="1" x14ac:dyDescent="0.25">
      <c r="A61" s="50" t="s">
        <v>20</v>
      </c>
      <c r="B61" s="51" t="s">
        <v>149</v>
      </c>
      <c r="C61" s="59">
        <v>0.04</v>
      </c>
      <c r="D61" s="84">
        <f>D$25*C61</f>
        <v>235.78</v>
      </c>
      <c r="E61" s="130">
        <f>E$25*C61</f>
        <v>235.78</v>
      </c>
    </row>
    <row r="62" spans="1:5" s="30" customFormat="1" x14ac:dyDescent="0.25">
      <c r="A62" s="400" t="s">
        <v>154</v>
      </c>
      <c r="B62" s="401"/>
      <c r="C62" s="401"/>
      <c r="D62" s="70">
        <f>SUM(D57:D61)</f>
        <v>421.47</v>
      </c>
      <c r="E62" s="136">
        <f>SUM(E57:E61)</f>
        <v>421.47</v>
      </c>
    </row>
    <row r="63" spans="1:5" s="30" customFormat="1" x14ac:dyDescent="0.25">
      <c r="A63" s="452" t="s">
        <v>163</v>
      </c>
      <c r="B63" s="453"/>
      <c r="C63" s="453"/>
      <c r="D63" s="489"/>
      <c r="E63" s="468"/>
    </row>
    <row r="64" spans="1:5" s="30" customFormat="1" x14ac:dyDescent="0.25">
      <c r="A64" s="52" t="s">
        <v>199</v>
      </c>
      <c r="B64" s="430" t="s">
        <v>198</v>
      </c>
      <c r="C64" s="430"/>
      <c r="D64" s="74" t="s">
        <v>10</v>
      </c>
      <c r="E64" s="138" t="s">
        <v>10</v>
      </c>
    </row>
    <row r="65" spans="1:5" s="30" customFormat="1" x14ac:dyDescent="0.25">
      <c r="A65" s="50" t="s">
        <v>0</v>
      </c>
      <c r="B65" s="51" t="s">
        <v>192</v>
      </c>
      <c r="C65" s="59">
        <v>9.2999999999999992E-3</v>
      </c>
      <c r="D65" s="84">
        <f t="shared" ref="D65:D70" si="2">(D$25+D$54+D$62+D$85)*C65</f>
        <v>93.83</v>
      </c>
      <c r="E65" s="130">
        <f t="shared" ref="E65:E70" si="3">(E$25+E$54+E$62+E$85)*C65</f>
        <v>93.83</v>
      </c>
    </row>
    <row r="66" spans="1:5" s="30" customFormat="1" x14ac:dyDescent="0.25">
      <c r="A66" s="50" t="s">
        <v>2</v>
      </c>
      <c r="B66" s="51" t="s">
        <v>193</v>
      </c>
      <c r="C66" s="59">
        <v>1.66E-2</v>
      </c>
      <c r="D66" s="84">
        <f t="shared" si="2"/>
        <v>167.49</v>
      </c>
      <c r="E66" s="130">
        <f t="shared" si="3"/>
        <v>167.49</v>
      </c>
    </row>
    <row r="67" spans="1:5" s="30" customFormat="1" x14ac:dyDescent="0.25">
      <c r="A67" s="50" t="s">
        <v>3</v>
      </c>
      <c r="B67" s="51" t="s">
        <v>194</v>
      </c>
      <c r="C67" s="59">
        <v>2.0000000000000001E-4</v>
      </c>
      <c r="D67" s="84">
        <f t="shared" si="2"/>
        <v>2.02</v>
      </c>
      <c r="E67" s="130">
        <f t="shared" si="3"/>
        <v>2.02</v>
      </c>
    </row>
    <row r="68" spans="1:5" s="30" customFormat="1" x14ac:dyDescent="0.25">
      <c r="A68" s="50" t="s">
        <v>5</v>
      </c>
      <c r="B68" s="51" t="s">
        <v>195</v>
      </c>
      <c r="C68" s="59">
        <v>2.7000000000000001E-3</v>
      </c>
      <c r="D68" s="84">
        <f t="shared" si="2"/>
        <v>27.24</v>
      </c>
      <c r="E68" s="130">
        <f t="shared" si="3"/>
        <v>27.24</v>
      </c>
    </row>
    <row r="69" spans="1:5" s="30" customFormat="1" x14ac:dyDescent="0.25">
      <c r="A69" s="50" t="s">
        <v>20</v>
      </c>
      <c r="B69" s="51" t="s">
        <v>196</v>
      </c>
      <c r="C69" s="59">
        <v>2.9999999999999997E-4</v>
      </c>
      <c r="D69" s="84">
        <f t="shared" si="2"/>
        <v>3.03</v>
      </c>
      <c r="E69" s="130">
        <f t="shared" si="3"/>
        <v>3.03</v>
      </c>
    </row>
    <row r="70" spans="1:5" s="30" customFormat="1" ht="15.75" customHeight="1" x14ac:dyDescent="0.25">
      <c r="A70" s="50" t="s">
        <v>21</v>
      </c>
      <c r="B70" s="55" t="s">
        <v>197</v>
      </c>
      <c r="C70" s="59">
        <v>0</v>
      </c>
      <c r="D70" s="84">
        <f t="shared" si="2"/>
        <v>0</v>
      </c>
      <c r="E70" s="130">
        <f t="shared" si="3"/>
        <v>0</v>
      </c>
    </row>
    <row r="71" spans="1:5" s="30" customFormat="1" x14ac:dyDescent="0.25">
      <c r="A71" s="418" t="s">
        <v>29</v>
      </c>
      <c r="B71" s="419"/>
      <c r="C71" s="60">
        <f>SUM(C65:C70)</f>
        <v>2.9100000000000001E-2</v>
      </c>
      <c r="D71" s="86">
        <f>SUM(D65:D70)</f>
        <v>293.61</v>
      </c>
      <c r="E71" s="131">
        <f>SUM(E65:E70)</f>
        <v>293.61</v>
      </c>
    </row>
    <row r="72" spans="1:5" s="30" customFormat="1" x14ac:dyDescent="0.25">
      <c r="A72" s="44"/>
      <c r="B72" s="57"/>
      <c r="C72" s="78"/>
      <c r="D72" s="219"/>
      <c r="E72" s="63"/>
    </row>
    <row r="73" spans="1:5" s="30" customFormat="1" x14ac:dyDescent="0.25">
      <c r="A73" s="44"/>
      <c r="B73" s="420" t="s">
        <v>201</v>
      </c>
      <c r="C73" s="429"/>
      <c r="D73" s="74" t="s">
        <v>10</v>
      </c>
      <c r="E73" s="138" t="s">
        <v>10</v>
      </c>
    </row>
    <row r="74" spans="1:5" s="30" customFormat="1" x14ac:dyDescent="0.25">
      <c r="A74" s="50" t="s">
        <v>0</v>
      </c>
      <c r="B74" s="51" t="s">
        <v>202</v>
      </c>
      <c r="C74" s="59">
        <v>0</v>
      </c>
      <c r="D74" s="84">
        <f>(D$25+D$54+D$62)*C74</f>
        <v>0</v>
      </c>
      <c r="E74" s="130">
        <f>(E$25+E$54+E$62)*C74</f>
        <v>0</v>
      </c>
    </row>
    <row r="75" spans="1:5" s="30" customFormat="1" ht="15.75" customHeight="1" x14ac:dyDescent="0.25">
      <c r="A75" s="418" t="s">
        <v>27</v>
      </c>
      <c r="B75" s="419"/>
      <c r="C75" s="101">
        <f>C74</f>
        <v>0</v>
      </c>
      <c r="D75" s="86">
        <f>D74</f>
        <v>0</v>
      </c>
      <c r="E75" s="131">
        <f>E74</f>
        <v>0</v>
      </c>
    </row>
    <row r="76" spans="1:5" s="30" customFormat="1" ht="15.75" customHeight="1" x14ac:dyDescent="0.25">
      <c r="A76" s="402" t="s">
        <v>30</v>
      </c>
      <c r="B76" s="403"/>
      <c r="C76" s="403"/>
      <c r="D76" s="476"/>
      <c r="E76" s="472"/>
    </row>
    <row r="77" spans="1:5" s="30" customFormat="1" ht="15.75" customHeight="1" x14ac:dyDescent="0.25">
      <c r="A77" s="454" t="s">
        <v>203</v>
      </c>
      <c r="B77" s="455"/>
      <c r="C77" s="455"/>
      <c r="D77" s="490"/>
      <c r="E77" s="473"/>
    </row>
    <row r="78" spans="1:5" s="30" customFormat="1" ht="15.75" customHeight="1" x14ac:dyDescent="0.25">
      <c r="A78" s="52">
        <v>4</v>
      </c>
      <c r="B78" s="396" t="s">
        <v>31</v>
      </c>
      <c r="C78" s="397"/>
      <c r="D78" s="74" t="s">
        <v>10</v>
      </c>
      <c r="E78" s="138" t="s">
        <v>10</v>
      </c>
    </row>
    <row r="79" spans="1:5" s="30" customFormat="1" ht="15.75" customHeight="1" x14ac:dyDescent="0.25">
      <c r="A79" s="50" t="s">
        <v>199</v>
      </c>
      <c r="B79" s="55" t="s">
        <v>198</v>
      </c>
      <c r="C79" s="59">
        <v>2.9899999999999999E-2</v>
      </c>
      <c r="D79" s="84">
        <f>D71</f>
        <v>293.61</v>
      </c>
      <c r="E79" s="130">
        <f>E71</f>
        <v>293.61</v>
      </c>
    </row>
    <row r="80" spans="1:5" s="30" customFormat="1" ht="15.75" customHeight="1" x14ac:dyDescent="0.25">
      <c r="A80" s="50" t="s">
        <v>221</v>
      </c>
      <c r="B80" s="55" t="s">
        <v>201</v>
      </c>
      <c r="C80" s="59">
        <v>0</v>
      </c>
      <c r="D80" s="84">
        <f>(D$25+D$54+D$62)*C80</f>
        <v>0</v>
      </c>
      <c r="E80" s="130">
        <f>(E$25+E$54+E$62)*C80</f>
        <v>0</v>
      </c>
    </row>
    <row r="81" spans="1:5" s="30" customFormat="1" ht="15.75" customHeight="1" x14ac:dyDescent="0.25">
      <c r="A81" s="418" t="s">
        <v>27</v>
      </c>
      <c r="B81" s="419"/>
      <c r="C81" s="99">
        <f>SUM(C79:C80)</f>
        <v>2.9899999999999999E-2</v>
      </c>
      <c r="D81" s="86">
        <f>SUM(D79:D80)</f>
        <v>293.61</v>
      </c>
      <c r="E81" s="131">
        <f>SUM(E79:E80)</f>
        <v>293.61</v>
      </c>
    </row>
    <row r="82" spans="1:5" s="30" customFormat="1" ht="15.75" customHeight="1" x14ac:dyDescent="0.25">
      <c r="A82" s="400" t="s">
        <v>155</v>
      </c>
      <c r="B82" s="401"/>
      <c r="C82" s="401"/>
      <c r="D82" s="70">
        <f>SUM(D75+D81)</f>
        <v>293.61</v>
      </c>
      <c r="E82" s="136">
        <f>SUM(E75+E81)</f>
        <v>293.61</v>
      </c>
    </row>
    <row r="83" spans="1:5" s="30" customFormat="1" ht="15.75" customHeight="1" x14ac:dyDescent="0.25">
      <c r="A83" s="452" t="s">
        <v>164</v>
      </c>
      <c r="B83" s="453"/>
      <c r="C83" s="453"/>
      <c r="D83" s="489"/>
      <c r="E83" s="468"/>
    </row>
    <row r="84" spans="1:5" s="30" customFormat="1" ht="15.75" customHeight="1" x14ac:dyDescent="0.25">
      <c r="A84" s="52">
        <v>5</v>
      </c>
      <c r="B84" s="396" t="s">
        <v>24</v>
      </c>
      <c r="C84" s="397"/>
      <c r="D84" s="74" t="s">
        <v>10</v>
      </c>
      <c r="E84" s="138" t="s">
        <v>10</v>
      </c>
    </row>
    <row r="85" spans="1:5" s="30" customFormat="1" ht="15.75" customHeight="1" x14ac:dyDescent="0.25">
      <c r="A85" s="48" t="s">
        <v>0</v>
      </c>
      <c r="B85" s="395" t="s">
        <v>222</v>
      </c>
      <c r="C85" s="395"/>
      <c r="D85" s="84">
        <f>Uniformes!H7</f>
        <v>36.619999999999997</v>
      </c>
      <c r="E85" s="130">
        <f>Uniformes!H7</f>
        <v>36.619999999999997</v>
      </c>
    </row>
    <row r="86" spans="1:5" s="30" customFormat="1" ht="15.75" customHeight="1" x14ac:dyDescent="0.25">
      <c r="A86" s="48" t="s">
        <v>2</v>
      </c>
      <c r="B86" s="395" t="s">
        <v>223</v>
      </c>
      <c r="C86" s="395"/>
      <c r="D86" s="84">
        <f>Materiais!H20</f>
        <v>44.57</v>
      </c>
      <c r="E86" s="130">
        <f>Materiais!H21</f>
        <v>44.57</v>
      </c>
    </row>
    <row r="87" spans="1:5" s="30" customFormat="1" ht="15.75" customHeight="1" x14ac:dyDescent="0.25">
      <c r="A87" s="48" t="s">
        <v>3</v>
      </c>
      <c r="B87" s="395" t="s">
        <v>187</v>
      </c>
      <c r="C87" s="395"/>
      <c r="D87" s="81">
        <f>Equipamentos!H20</f>
        <v>922.4</v>
      </c>
      <c r="E87" s="129">
        <f>Equipamentos!H21</f>
        <v>922.4</v>
      </c>
    </row>
    <row r="88" spans="1:5" s="30" customFormat="1" ht="15.75" customHeight="1" x14ac:dyDescent="0.25">
      <c r="A88" s="48" t="s">
        <v>5</v>
      </c>
      <c r="B88" s="395" t="s">
        <v>137</v>
      </c>
      <c r="C88" s="395"/>
      <c r="D88" s="84">
        <v>0</v>
      </c>
      <c r="E88" s="130">
        <v>0</v>
      </c>
    </row>
    <row r="89" spans="1:5" s="30" customFormat="1" ht="15.75" customHeight="1" x14ac:dyDescent="0.25">
      <c r="A89" s="400" t="s">
        <v>156</v>
      </c>
      <c r="B89" s="401"/>
      <c r="C89" s="401"/>
      <c r="D89" s="70">
        <f>SUM(D85:D88)</f>
        <v>1003.59</v>
      </c>
      <c r="E89" s="136">
        <f>SUM(E85:E88)</f>
        <v>1003.59</v>
      </c>
    </row>
    <row r="90" spans="1:5" s="30" customFormat="1" ht="30" customHeight="1" x14ac:dyDescent="0.25">
      <c r="A90" s="398" t="s">
        <v>225</v>
      </c>
      <c r="B90" s="399"/>
      <c r="C90" s="399"/>
      <c r="D90" s="167">
        <f>D89+D82+D62+D54+D25</f>
        <v>11350.09</v>
      </c>
      <c r="E90" s="140">
        <f>E89+E82+E62+E54+E25</f>
        <v>11350.09</v>
      </c>
    </row>
    <row r="91" spans="1:5" s="30" customFormat="1" ht="19.5" customHeight="1" x14ac:dyDescent="0.25">
      <c r="A91" s="452" t="s">
        <v>165</v>
      </c>
      <c r="B91" s="453"/>
      <c r="C91" s="453"/>
      <c r="D91" s="489"/>
      <c r="E91" s="468"/>
    </row>
    <row r="92" spans="1:5" s="30" customFormat="1" x14ac:dyDescent="0.25">
      <c r="A92" s="52">
        <v>6</v>
      </c>
      <c r="B92" s="396" t="s">
        <v>38</v>
      </c>
      <c r="C92" s="412"/>
      <c r="D92" s="74" t="s">
        <v>10</v>
      </c>
      <c r="E92" s="138" t="s">
        <v>10</v>
      </c>
    </row>
    <row r="93" spans="1:5" s="30" customFormat="1" x14ac:dyDescent="0.25">
      <c r="A93" s="52" t="s">
        <v>0</v>
      </c>
      <c r="B93" s="51" t="s">
        <v>39</v>
      </c>
      <c r="C93" s="59">
        <v>0.03</v>
      </c>
      <c r="D93" s="84">
        <f>+D90*C93</f>
        <v>340.5</v>
      </c>
      <c r="E93" s="130">
        <f>+E90*C93</f>
        <v>340.5</v>
      </c>
    </row>
    <row r="94" spans="1:5" s="30" customFormat="1" x14ac:dyDescent="0.25">
      <c r="A94" s="52" t="s">
        <v>2</v>
      </c>
      <c r="B94" s="51" t="s">
        <v>40</v>
      </c>
      <c r="C94" s="59">
        <v>6.7900000000000002E-2</v>
      </c>
      <c r="D94" s="84">
        <f>C94*(+D90+D93)</f>
        <v>793.79</v>
      </c>
      <c r="E94" s="130">
        <f>C94*(+E90+E93)</f>
        <v>793.79</v>
      </c>
    </row>
    <row r="95" spans="1:5" s="30" customFormat="1" ht="31.5" x14ac:dyDescent="0.25">
      <c r="A95" s="422" t="s">
        <v>3</v>
      </c>
      <c r="B95" s="51" t="s">
        <v>50</v>
      </c>
      <c r="C95" s="59">
        <f>1-C103</f>
        <v>0.85750000000000004</v>
      </c>
      <c r="D95" s="84">
        <f>+D90+D93+D94</f>
        <v>12484.38</v>
      </c>
      <c r="E95" s="130">
        <f>+E90+E93+E94</f>
        <v>12484.38</v>
      </c>
    </row>
    <row r="96" spans="1:5" s="30" customFormat="1" x14ac:dyDescent="0.25">
      <c r="A96" s="422"/>
      <c r="B96" s="55" t="s">
        <v>41</v>
      </c>
      <c r="C96" s="95"/>
      <c r="D96" s="168">
        <f>+D95/C95</f>
        <v>14559.04</v>
      </c>
      <c r="E96" s="141">
        <f>+E95/C95</f>
        <v>14559.04</v>
      </c>
    </row>
    <row r="97" spans="1:5" s="30" customFormat="1" x14ac:dyDescent="0.25">
      <c r="A97" s="422"/>
      <c r="B97" s="55" t="s">
        <v>42</v>
      </c>
      <c r="C97" s="72"/>
      <c r="D97" s="84"/>
      <c r="E97" s="130"/>
    </row>
    <row r="98" spans="1:5" s="30" customFormat="1" x14ac:dyDescent="0.25">
      <c r="A98" s="422"/>
      <c r="B98" s="51" t="s">
        <v>130</v>
      </c>
      <c r="C98" s="59">
        <v>1.6500000000000001E-2</v>
      </c>
      <c r="D98" s="84">
        <f>+D96*C98</f>
        <v>240.22</v>
      </c>
      <c r="E98" s="130">
        <f>+E96*C98</f>
        <v>240.22</v>
      </c>
    </row>
    <row r="99" spans="1:5" s="30" customFormat="1" x14ac:dyDescent="0.25">
      <c r="A99" s="422"/>
      <c r="B99" s="51" t="s">
        <v>131</v>
      </c>
      <c r="C99" s="59">
        <v>7.5999999999999998E-2</v>
      </c>
      <c r="D99" s="84">
        <f>+D96*C99</f>
        <v>1106.49</v>
      </c>
      <c r="E99" s="130">
        <f>+E96*C99</f>
        <v>1106.49</v>
      </c>
    </row>
    <row r="100" spans="1:5" s="30" customFormat="1" x14ac:dyDescent="0.25">
      <c r="A100" s="422"/>
      <c r="B100" s="53" t="s">
        <v>43</v>
      </c>
      <c r="C100" s="95"/>
      <c r="D100" s="84"/>
      <c r="E100" s="130"/>
    </row>
    <row r="101" spans="1:5" s="30" customFormat="1" x14ac:dyDescent="0.25">
      <c r="A101" s="422"/>
      <c r="B101" s="53" t="s">
        <v>44</v>
      </c>
      <c r="C101" s="102"/>
      <c r="D101" s="84"/>
      <c r="E101" s="130"/>
    </row>
    <row r="102" spans="1:5" s="30" customFormat="1" x14ac:dyDescent="0.25">
      <c r="A102" s="422"/>
      <c r="B102" s="51" t="s">
        <v>142</v>
      </c>
      <c r="C102" s="59">
        <v>0.05</v>
      </c>
      <c r="D102" s="84">
        <f>+D96*C102</f>
        <v>727.95</v>
      </c>
      <c r="E102" s="130">
        <f>+E96*C102</f>
        <v>727.95</v>
      </c>
    </row>
    <row r="103" spans="1:5" s="30" customFormat="1" x14ac:dyDescent="0.25">
      <c r="A103" s="52"/>
      <c r="B103" s="106" t="s">
        <v>45</v>
      </c>
      <c r="C103" s="107">
        <f>SUM(C98:C102)</f>
        <v>0.14249999999999999</v>
      </c>
      <c r="D103" s="84">
        <f>SUM(D98:D102)</f>
        <v>2074.66</v>
      </c>
      <c r="E103" s="130">
        <f>SUM(E98:E102)</f>
        <v>2074.66</v>
      </c>
    </row>
    <row r="104" spans="1:5" s="30" customFormat="1" ht="15.75" customHeight="1" x14ac:dyDescent="0.25">
      <c r="A104" s="418" t="s">
        <v>46</v>
      </c>
      <c r="B104" s="419"/>
      <c r="C104" s="419"/>
      <c r="D104" s="86">
        <f>+D93+D94+D103</f>
        <v>3208.95</v>
      </c>
      <c r="E104" s="131">
        <f>+E93+E94+E103</f>
        <v>3208.95</v>
      </c>
    </row>
    <row r="105" spans="1:5" s="30" customFormat="1" ht="15.75" customHeight="1" x14ac:dyDescent="0.25">
      <c r="A105" s="456" t="s">
        <v>47</v>
      </c>
      <c r="B105" s="457"/>
      <c r="C105" s="457"/>
      <c r="D105" s="169" t="s">
        <v>10</v>
      </c>
      <c r="E105" s="142" t="s">
        <v>10</v>
      </c>
    </row>
    <row r="106" spans="1:5" s="30" customFormat="1" x14ac:dyDescent="0.25">
      <c r="A106" s="50" t="s">
        <v>0</v>
      </c>
      <c r="B106" s="425" t="s">
        <v>48</v>
      </c>
      <c r="C106" s="425"/>
      <c r="D106" s="84">
        <f>+D25</f>
        <v>5894.6</v>
      </c>
      <c r="E106" s="130">
        <f>+E25</f>
        <v>5894.6</v>
      </c>
    </row>
    <row r="107" spans="1:5" s="30" customFormat="1" x14ac:dyDescent="0.25">
      <c r="A107" s="50" t="s">
        <v>2</v>
      </c>
      <c r="B107" s="425" t="s">
        <v>159</v>
      </c>
      <c r="C107" s="425"/>
      <c r="D107" s="84">
        <f>+D54</f>
        <v>3736.82</v>
      </c>
      <c r="E107" s="130">
        <f>+E54</f>
        <v>3736.82</v>
      </c>
    </row>
    <row r="108" spans="1:5" s="30" customFormat="1" x14ac:dyDescent="0.25">
      <c r="A108" s="50" t="s">
        <v>3</v>
      </c>
      <c r="B108" s="425" t="s">
        <v>157</v>
      </c>
      <c r="C108" s="425"/>
      <c r="D108" s="84">
        <f>D62</f>
        <v>421.47</v>
      </c>
      <c r="E108" s="130">
        <f>E62</f>
        <v>421.47</v>
      </c>
    </row>
    <row r="109" spans="1:5" s="30" customFormat="1" x14ac:dyDescent="0.25">
      <c r="A109" s="50" t="s">
        <v>5</v>
      </c>
      <c r="B109" s="474" t="s">
        <v>150</v>
      </c>
      <c r="C109" s="475"/>
      <c r="D109" s="84">
        <f>D82</f>
        <v>293.61</v>
      </c>
      <c r="E109" s="130">
        <f>E82</f>
        <v>293.61</v>
      </c>
    </row>
    <row r="110" spans="1:5" s="30" customFormat="1" x14ac:dyDescent="0.25">
      <c r="A110" s="50" t="s">
        <v>20</v>
      </c>
      <c r="B110" s="474" t="s">
        <v>158</v>
      </c>
      <c r="C110" s="475"/>
      <c r="D110" s="84">
        <f>D89</f>
        <v>1003.59</v>
      </c>
      <c r="E110" s="130">
        <f>E89</f>
        <v>1003.59</v>
      </c>
    </row>
    <row r="111" spans="1:5" s="30" customFormat="1" ht="15.75" customHeight="1" x14ac:dyDescent="0.25">
      <c r="A111" s="422" t="s">
        <v>160</v>
      </c>
      <c r="B111" s="426"/>
      <c r="C111" s="426"/>
      <c r="D111" s="108">
        <f>SUM(D106:D110)</f>
        <v>11350.09</v>
      </c>
      <c r="E111" s="143">
        <f>SUM(E106:E110)</f>
        <v>11350.09</v>
      </c>
    </row>
    <row r="112" spans="1:5" s="30" customFormat="1" x14ac:dyDescent="0.25">
      <c r="A112" s="52" t="s">
        <v>20</v>
      </c>
      <c r="B112" s="425" t="s">
        <v>161</v>
      </c>
      <c r="C112" s="425"/>
      <c r="D112" s="84">
        <f>+D104</f>
        <v>3208.95</v>
      </c>
      <c r="E112" s="130">
        <f>+E104</f>
        <v>3208.95</v>
      </c>
    </row>
    <row r="113" spans="1:5" s="30" customFormat="1" ht="16.5" customHeight="1" thickBot="1" x14ac:dyDescent="0.3">
      <c r="A113" s="410" t="s">
        <v>49</v>
      </c>
      <c r="B113" s="411"/>
      <c r="C113" s="411"/>
      <c r="D113" s="170">
        <f>+D111+D112</f>
        <v>14559.04</v>
      </c>
      <c r="E113" s="144">
        <f>+E111+E112</f>
        <v>14559.04</v>
      </c>
    </row>
    <row r="114" spans="1:5" x14ac:dyDescent="0.25">
      <c r="C114" s="31"/>
      <c r="D114" s="31"/>
      <c r="E114" s="33"/>
    </row>
    <row r="115" spans="1:5" x14ac:dyDescent="0.25">
      <c r="B115" s="28"/>
      <c r="C115" s="31"/>
      <c r="D115" s="31"/>
      <c r="E115" s="34"/>
    </row>
    <row r="116" spans="1:5" x14ac:dyDescent="0.25">
      <c r="B116" s="28"/>
      <c r="C116" s="31"/>
      <c r="D116" s="31"/>
      <c r="E116" s="34" t="s">
        <v>129</v>
      </c>
    </row>
    <row r="117" spans="1:5" x14ac:dyDescent="0.25">
      <c r="B117" s="28"/>
      <c r="C117" s="421"/>
      <c r="D117" s="421"/>
      <c r="E117" s="421"/>
    </row>
    <row r="118" spans="1:5" x14ac:dyDescent="0.25">
      <c r="B118" s="28"/>
      <c r="C118" s="31"/>
      <c r="D118" s="31"/>
      <c r="E118" s="35"/>
    </row>
    <row r="120" spans="1:5" x14ac:dyDescent="0.25">
      <c r="B120" s="36"/>
    </row>
    <row r="125" spans="1:5" x14ac:dyDescent="0.25">
      <c r="B125" s="28"/>
    </row>
  </sheetData>
  <mergeCells count="65">
    <mergeCell ref="C6:E6"/>
    <mergeCell ref="A1:E1"/>
    <mergeCell ref="A2:E2"/>
    <mergeCell ref="A3:E3"/>
    <mergeCell ref="C4:E4"/>
    <mergeCell ref="C5:E5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A55:E55"/>
    <mergeCell ref="A26:E26"/>
    <mergeCell ref="B27:C27"/>
    <mergeCell ref="A30:B30"/>
    <mergeCell ref="A31:E31"/>
    <mergeCell ref="B32:C32"/>
    <mergeCell ref="A41:B41"/>
    <mergeCell ref="A42:E42"/>
    <mergeCell ref="B43:C43"/>
    <mergeCell ref="A49:C49"/>
    <mergeCell ref="A50:E50"/>
    <mergeCell ref="A54:C54"/>
    <mergeCell ref="A82:C82"/>
    <mergeCell ref="B56:C56"/>
    <mergeCell ref="A62:C62"/>
    <mergeCell ref="A63:E63"/>
    <mergeCell ref="B64:C64"/>
    <mergeCell ref="A71:B71"/>
    <mergeCell ref="B73:C73"/>
    <mergeCell ref="A75:B75"/>
    <mergeCell ref="A76:E76"/>
    <mergeCell ref="A77:E77"/>
    <mergeCell ref="B78:C78"/>
    <mergeCell ref="A81:B81"/>
    <mergeCell ref="A104:C104"/>
    <mergeCell ref="A83:E83"/>
    <mergeCell ref="B84:C84"/>
    <mergeCell ref="B85:C85"/>
    <mergeCell ref="B86:C86"/>
    <mergeCell ref="B87:C87"/>
    <mergeCell ref="B88:C88"/>
    <mergeCell ref="A89:C89"/>
    <mergeCell ref="A90:C90"/>
    <mergeCell ref="A91:E91"/>
    <mergeCell ref="B92:C92"/>
    <mergeCell ref="A95:A102"/>
    <mergeCell ref="A111:C111"/>
    <mergeCell ref="B112:C112"/>
    <mergeCell ref="A113:C113"/>
    <mergeCell ref="C117:E117"/>
    <mergeCell ref="A105:C105"/>
    <mergeCell ref="B106:C106"/>
    <mergeCell ref="B107:C107"/>
    <mergeCell ref="B108:C108"/>
    <mergeCell ref="B109:C109"/>
    <mergeCell ref="B110:C110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Plan2</vt:lpstr>
      <vt:lpstr>Plan3</vt:lpstr>
      <vt:lpstr>Planilha</vt:lpstr>
      <vt:lpstr>Motorista - Diurno</vt:lpstr>
      <vt:lpstr>Motorista - Noturno</vt:lpstr>
      <vt:lpstr>Técnico de Enfermagem - Diurno</vt:lpstr>
      <vt:lpstr>Técnico de Enfermagem - Noturno</vt:lpstr>
      <vt:lpstr>Enfermeiro - Diurno</vt:lpstr>
      <vt:lpstr>Enfermeiro - Noturno</vt:lpstr>
      <vt:lpstr>Médico - Diurno </vt:lpstr>
      <vt:lpstr>Médico - Noturno</vt:lpstr>
      <vt:lpstr>Uniformes</vt:lpstr>
      <vt:lpstr>Materiais</vt:lpstr>
      <vt:lpstr>Equipamentos</vt:lpstr>
      <vt:lpstr>'Enfermeiro - Diurno'!Area_de_impressao</vt:lpstr>
      <vt:lpstr>'Enfermeiro - Noturno'!Area_de_impressao</vt:lpstr>
      <vt:lpstr>Equipamentos!Area_de_impressao</vt:lpstr>
      <vt:lpstr>Materiais!Area_de_impressao</vt:lpstr>
      <vt:lpstr>'Médico - Diurno '!Area_de_impressao</vt:lpstr>
      <vt:lpstr>'Médico - Noturno'!Area_de_impressao</vt:lpstr>
      <vt:lpstr>'Motorista - Diurno'!Area_de_impressao</vt:lpstr>
      <vt:lpstr>'Motorista - Noturno'!Area_de_impressao</vt:lpstr>
      <vt:lpstr>Planilha!Area_de_impressao</vt:lpstr>
      <vt:lpstr>'Técnico de Enfermagem - Diurno'!Area_de_impressao</vt:lpstr>
      <vt:lpstr>'Técnico de Enfermagem - Noturno'!Area_de_impressao</vt:lpstr>
      <vt:lpstr>Uniformes!Area_de_impressao</vt:lpstr>
      <vt:lpstr>'Enfermeiro - Diurno'!Titulos_de_impressao</vt:lpstr>
      <vt:lpstr>'Enfermeiro - Noturno'!Titulos_de_impressao</vt:lpstr>
      <vt:lpstr>'Médico - Diurno '!Titulos_de_impressao</vt:lpstr>
      <vt:lpstr>'Médico - Noturno'!Titulos_de_impressao</vt:lpstr>
      <vt:lpstr>'Motorista - Diurno'!Titulos_de_impressao</vt:lpstr>
      <vt:lpstr>'Motorista - Noturno'!Titulos_de_impressao</vt:lpstr>
      <vt:lpstr>'Técnico de Enfermagem - Diurno'!Titulos_de_impressao</vt:lpstr>
      <vt:lpstr>'Técnico de Enfermagem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2024-12-17T13:14:32Z</cp:lastPrinted>
  <dcterms:created xsi:type="dcterms:W3CDTF">2014-04-11T01:53:38Z</dcterms:created>
  <dcterms:modified xsi:type="dcterms:W3CDTF">2024-12-17T13:14:40Z</dcterms:modified>
</cp:coreProperties>
</file>